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LIGUE\Championnats Départementaux\2021-2022\CDFC\64\"/>
    </mc:Choice>
  </mc:AlternateContent>
  <xr:revisionPtr revIDLastSave="0" documentId="8_{1DD19807-86ED-49BB-B47F-AF50FC807E04}" xr6:coauthVersionLast="47" xr6:coauthVersionMax="47" xr10:uidLastSave="{00000000-0000-0000-0000-000000000000}"/>
  <bookViews>
    <workbookView xWindow="-108" yWindow="-108" windowWidth="23256" windowHeight="12576" tabRatio="903" activeTab="2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T12" i="39" s="1"/>
  <c r="H12" i="39"/>
  <c r="W12" i="39"/>
  <c r="R13" i="39"/>
  <c r="M13" i="39"/>
  <c r="T13" i="39" s="1"/>
  <c r="H13" i="39"/>
  <c r="R14" i="39"/>
  <c r="T14" i="39" s="1"/>
  <c r="M14" i="39"/>
  <c r="H14" i="39"/>
  <c r="R15" i="39"/>
  <c r="M15" i="39"/>
  <c r="H15" i="39"/>
  <c r="R16" i="39"/>
  <c r="M16" i="39"/>
  <c r="H16" i="39"/>
  <c r="W16" i="39" s="1"/>
  <c r="R17" i="39"/>
  <c r="M17" i="39"/>
  <c r="H17" i="39"/>
  <c r="R18" i="39"/>
  <c r="M18" i="39"/>
  <c r="H18" i="39"/>
  <c r="W18" i="39" s="1"/>
  <c r="R19" i="39"/>
  <c r="M19" i="39"/>
  <c r="H19" i="39"/>
  <c r="R20" i="39"/>
  <c r="M20" i="39"/>
  <c r="T20" i="39" s="1"/>
  <c r="H20" i="39"/>
  <c r="W20" i="39" s="1"/>
  <c r="R21" i="39"/>
  <c r="M21" i="39"/>
  <c r="T21" i="39" s="1"/>
  <c r="H21" i="39"/>
  <c r="R22" i="39"/>
  <c r="M22" i="39"/>
  <c r="H22" i="39"/>
  <c r="W22" i="39" s="1"/>
  <c r="R23" i="39"/>
  <c r="M23" i="39"/>
  <c r="H23" i="39"/>
  <c r="W23" i="39" s="1"/>
  <c r="R24" i="39"/>
  <c r="M24" i="39"/>
  <c r="H24" i="39"/>
  <c r="W24" i="39" s="1"/>
  <c r="R25" i="39"/>
  <c r="M25" i="39"/>
  <c r="H25" i="39"/>
  <c r="R26" i="39"/>
  <c r="M26" i="39"/>
  <c r="H26" i="39"/>
  <c r="R27" i="39"/>
  <c r="M27" i="39"/>
  <c r="H27" i="39"/>
  <c r="W27" i="39" s="1"/>
  <c r="R28" i="39"/>
  <c r="M28" i="39"/>
  <c r="H28" i="39"/>
  <c r="W28" i="39"/>
  <c r="R29" i="39"/>
  <c r="M29" i="39"/>
  <c r="T29" i="39" s="1"/>
  <c r="H29" i="39"/>
  <c r="R30" i="39"/>
  <c r="T30" i="39" s="1"/>
  <c r="M30" i="39"/>
  <c r="H30" i="39"/>
  <c r="R31" i="39"/>
  <c r="M31" i="39"/>
  <c r="H31" i="39"/>
  <c r="R32" i="39"/>
  <c r="M32" i="39"/>
  <c r="H32" i="39"/>
  <c r="W32" i="39" s="1"/>
  <c r="R33" i="39"/>
  <c r="M33" i="39"/>
  <c r="H33" i="39"/>
  <c r="R34" i="39"/>
  <c r="M34" i="39"/>
  <c r="H34" i="39"/>
  <c r="R35" i="39"/>
  <c r="M35" i="39"/>
  <c r="H35" i="39"/>
  <c r="R36" i="39"/>
  <c r="M36" i="39"/>
  <c r="T36" i="39" s="1"/>
  <c r="H36" i="39"/>
  <c r="R37" i="39"/>
  <c r="M37" i="39"/>
  <c r="T37" i="39" s="1"/>
  <c r="H37" i="39"/>
  <c r="R38" i="39"/>
  <c r="M38" i="39"/>
  <c r="H38" i="39"/>
  <c r="W38" i="39" s="1"/>
  <c r="R39" i="39"/>
  <c r="M39" i="39"/>
  <c r="H39" i="39"/>
  <c r="R40" i="39"/>
  <c r="W40" i="39" s="1"/>
  <c r="M40" i="39"/>
  <c r="H40" i="39"/>
  <c r="R41" i="39"/>
  <c r="M41" i="39"/>
  <c r="H41" i="39"/>
  <c r="R42" i="39"/>
  <c r="M42" i="39"/>
  <c r="H42" i="39"/>
  <c r="R43" i="39"/>
  <c r="M43" i="39"/>
  <c r="H43" i="39"/>
  <c r="W43" i="39" s="1"/>
  <c r="R44" i="39"/>
  <c r="M44" i="39"/>
  <c r="T44" i="39" s="1"/>
  <c r="H44" i="39"/>
  <c r="W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U14" i="39"/>
  <c r="U15" i="39"/>
  <c r="U16" i="39"/>
  <c r="U17" i="39"/>
  <c r="T18" i="39"/>
  <c r="U18" i="39"/>
  <c r="U19" i="39"/>
  <c r="U20" i="39"/>
  <c r="U21" i="39"/>
  <c r="U22" i="39"/>
  <c r="U23" i="39"/>
  <c r="U24" i="39"/>
  <c r="U25" i="39"/>
  <c r="T26" i="39"/>
  <c r="U26" i="39"/>
  <c r="U27" i="39"/>
  <c r="U28" i="39"/>
  <c r="U29" i="39"/>
  <c r="U30" i="39"/>
  <c r="U31" i="39"/>
  <c r="U32" i="39"/>
  <c r="U33" i="39"/>
  <c r="T34" i="39"/>
  <c r="U34" i="39"/>
  <c r="U35" i="39"/>
  <c r="U36" i="39"/>
  <c r="U37" i="39"/>
  <c r="U38" i="39"/>
  <c r="U39" i="39"/>
  <c r="U40" i="39"/>
  <c r="U41" i="39"/>
  <c r="T42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32" i="37"/>
  <c r="B41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M98" i="38" s="1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W35" i="39" l="1"/>
  <c r="W30" i="39"/>
  <c r="T28" i="39"/>
  <c r="B39" i="37"/>
  <c r="B37" i="37"/>
  <c r="W42" i="39"/>
  <c r="T40" i="39"/>
  <c r="T25" i="39"/>
  <c r="W15" i="39"/>
  <c r="B31" i="37"/>
  <c r="T22" i="39"/>
  <c r="W39" i="39"/>
  <c r="W34" i="39"/>
  <c r="T32" i="39"/>
  <c r="T17" i="39"/>
  <c r="D39" i="37"/>
  <c r="W36" i="39"/>
  <c r="W19" i="39"/>
  <c r="W14" i="39"/>
  <c r="D27" i="37"/>
  <c r="T41" i="39"/>
  <c r="W31" i="39"/>
  <c r="W26" i="39"/>
  <c r="T24" i="39"/>
  <c r="T38" i="39"/>
  <c r="T33" i="39"/>
  <c r="T16" i="39"/>
  <c r="E39" i="37"/>
  <c r="D35" i="37"/>
  <c r="E29" i="37"/>
  <c r="B46" i="37"/>
  <c r="B33" i="37"/>
  <c r="D37" i="37"/>
  <c r="E33" i="37"/>
  <c r="B42" i="37"/>
  <c r="T43" i="39"/>
  <c r="W41" i="39"/>
  <c r="T39" i="39"/>
  <c r="W37" i="39"/>
  <c r="T35" i="39"/>
  <c r="W33" i="39"/>
  <c r="T31" i="39"/>
  <c r="W29" i="39"/>
  <c r="T27" i="39"/>
  <c r="W25" i="39"/>
  <c r="T23" i="39"/>
  <c r="W21" i="39"/>
  <c r="T19" i="39"/>
  <c r="W17" i="39"/>
  <c r="T15" i="39"/>
  <c r="W13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13" i="37"/>
  <c r="E12" i="37"/>
  <c r="E11" i="37"/>
  <c r="B10" i="37"/>
  <c r="F10" i="37" s="1"/>
  <c r="F8" i="37"/>
  <c r="D8" i="37"/>
  <c r="E7" i="37"/>
  <c r="F7" i="37"/>
  <c r="D7" i="37"/>
  <c r="D9" i="37"/>
  <c r="F9" i="37"/>
  <c r="E9" i="37"/>
  <c r="D11" i="37" l="1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<sst xmlns="http://schemas.openxmlformats.org/spreadsheetml/2006/main" count="184" uniqueCount="79">
  <si>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</si>
  <si>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</si>
  <si>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</si>
  <si>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</si>
  <si>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</si>
  <si>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</si>
  <si>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</si>
  <si>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</si>
  <si>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</si>
  <si>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</si>
  <si>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</si>
  <si>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</si>
  <si>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</si>
  <si>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</si>
  <si>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</si>
  <si>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</si>
  <si>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</si>
  <si>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</si>
  <si>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</si>
  <si>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</si>
  <si>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</si>
  <si>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</si>
  <si>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</si>
  <si>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</si>
  <si>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</si>
  <si>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</si>
  <si>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</si>
  <si>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</si>
  <si>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</si>
  <si>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</si>
  <si>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</si>
  <si>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</si>
  <si>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</si>
  <si>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</si>
  <si>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</si>
  <si>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</si>
  <si>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</si>
  <si>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</si>
  <si>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</si>
  <si>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</si>
  <si>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</si>
  <si>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</si>
  <si>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</si>
  <si>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</si>
  <si>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</si>
  <si>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</si>
  <si>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</si>
  <si>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</si>
  <si>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</si>
  <si>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</si>
  <si>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</si>
  <si>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</si>
  <si>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</si>
  <si>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</si>
  <si>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</si>
  <si>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</si>
  <si>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</si>
  <si>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</si>
  <si>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</si>
  <si>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</si>
  <si>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</si>
  <si>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</si>
  <si>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</si>
  <si>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</si>
  <si>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Ciboure</t>
  </si>
  <si>
    <t>2021-2022</t>
  </si>
  <si>
    <t>CARABINE</t>
  </si>
  <si>
    <t>AQUITAINE</t>
  </si>
  <si>
    <t>DABADIE Jacques</t>
  </si>
  <si>
    <t>06 15 64 08 75</t>
  </si>
  <si>
    <t>societetirciboure@orange.fr</t>
  </si>
  <si>
    <t>DE AIZPURA-CHAON Nora</t>
  </si>
  <si>
    <t>RACLOT Eneka</t>
  </si>
  <si>
    <t>DEVALM-MEZA Camille</t>
  </si>
  <si>
    <t>PISHCHUGIN Vladislav</t>
  </si>
  <si>
    <t>ST.Ciboure C1</t>
  </si>
  <si>
    <t>ST.Ciboure C2</t>
  </si>
  <si>
    <t>MAC CALLUM Axel</t>
  </si>
  <si>
    <t>CAETANO Yanis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</si>
</sst>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328125" defaultRowHeight="13.2" x14ac:dyDescent="0.25"/>
  <cols>
    <col min="1" max="1" width="16.453125" style="109" bestFit="1" customWidth="1"/>
    <col min="2" max="2" width="29.6328125" style="109" customWidth="1"/>
    <col min="3" max="3" width="30.90625" style="109" customWidth="1"/>
    <col min="4" max="16384" width="10.6328125" style="109"/>
  </cols>
  <sheetData>
    <row r="1" spans="1:3" ht="96.9" customHeight="1" x14ac:dyDescent="0.25">
      <c r="A1" s="184" t="s">
        <v>3</v>
      </c>
      <c r="B1" s="185"/>
      <c r="C1" s="185"/>
    </row>
    <row r="2" spans="1:3" ht="24.9" customHeight="1" x14ac:dyDescent="0.25">
      <c r="A2" s="186" t="s">
        <v>18</v>
      </c>
      <c r="B2" s="186"/>
      <c r="C2" s="186"/>
    </row>
    <row r="3" spans="1:3" ht="24.9" customHeight="1" x14ac:dyDescent="0.25">
      <c r="A3" s="189" t="s">
        <v>29</v>
      </c>
      <c r="B3" s="189"/>
      <c r="C3" s="189"/>
    </row>
    <row r="4" spans="1:3" ht="24.9" customHeight="1" x14ac:dyDescent="0.25">
      <c r="A4" s="110" t="s">
        <v>5</v>
      </c>
      <c r="B4" s="61">
        <v>43122</v>
      </c>
      <c r="C4" s="111"/>
    </row>
    <row r="5" spans="1:3" ht="24.9" customHeight="1" x14ac:dyDescent="0.25">
      <c r="A5" s="110" t="s">
        <v>46</v>
      </c>
      <c r="B5" s="10" t="s">
        <v>64</v>
      </c>
      <c r="C5" s="111"/>
    </row>
    <row r="6" spans="1:3" ht="24.9" customHeight="1" x14ac:dyDescent="0.25">
      <c r="A6" s="110" t="s">
        <v>49</v>
      </c>
      <c r="B6" s="52" t="s">
        <v>65</v>
      </c>
      <c r="C6" s="111"/>
    </row>
    <row r="7" spans="1:3" ht="24.9" customHeight="1" x14ac:dyDescent="0.25">
      <c r="A7" s="110" t="s">
        <v>0</v>
      </c>
      <c r="B7" s="10" t="s">
        <v>66</v>
      </c>
      <c r="C7" s="111" t="s">
        <v>4</v>
      </c>
    </row>
    <row r="8" spans="1:3" ht="24.9" customHeight="1" x14ac:dyDescent="0.25">
      <c r="A8" s="110" t="s">
        <v>47</v>
      </c>
      <c r="B8" s="15">
        <v>2</v>
      </c>
      <c r="C8" s="111"/>
    </row>
    <row r="9" spans="1:3" ht="24.9" customHeight="1" x14ac:dyDescent="0.25">
      <c r="A9" s="9" t="s">
        <v>31</v>
      </c>
      <c r="B9" s="51" t="s">
        <v>67</v>
      </c>
      <c r="C9" s="111" t="s">
        <v>50</v>
      </c>
    </row>
    <row r="10" spans="1:3" ht="24.9" customHeight="1" x14ac:dyDescent="0.25">
      <c r="A10" s="112"/>
      <c r="B10" s="112"/>
      <c r="C10" s="113"/>
    </row>
    <row r="11" spans="1:3" ht="24.9" customHeight="1" x14ac:dyDescent="0.25">
      <c r="A11" s="189" t="s">
        <v>30</v>
      </c>
      <c r="B11" s="189"/>
      <c r="C11" s="189"/>
    </row>
    <row r="12" spans="1:3" ht="30" customHeight="1" x14ac:dyDescent="0.25">
      <c r="A12" s="110" t="s">
        <v>48</v>
      </c>
      <c r="B12" s="14" t="s">
        <v>68</v>
      </c>
      <c r="C12" s="114"/>
    </row>
    <row r="13" spans="1:3" ht="30" customHeight="1" x14ac:dyDescent="0.25">
      <c r="A13" s="9" t="s">
        <v>26</v>
      </c>
      <c r="B13" s="13" t="s">
        <v>69</v>
      </c>
      <c r="C13" s="111"/>
    </row>
    <row r="14" spans="1:3" ht="30" customHeight="1" x14ac:dyDescent="0.25">
      <c r="A14" s="9" t="s">
        <v>27</v>
      </c>
      <c r="B14" s="16" t="s">
        <v>70</v>
      </c>
      <c r="C14" s="115"/>
    </row>
    <row r="16" spans="1:3" ht="92.1" customHeight="1" x14ac:dyDescent="0.25">
      <c r="A16" s="187" t="s">
        <v>10</v>
      </c>
      <c r="B16" s="187"/>
      <c r="C16" s="187"/>
    </row>
    <row r="17" spans="1:3" ht="15" customHeight="1" x14ac:dyDescent="0.25">
      <c r="A17" s="190" t="s">
        <v>13</v>
      </c>
      <c r="B17" s="190"/>
      <c r="C17" s="116"/>
    </row>
    <row r="18" spans="1:3" ht="15" customHeight="1" x14ac:dyDescent="0.25">
      <c r="A18" s="191" t="s">
        <v>28</v>
      </c>
      <c r="B18" s="190"/>
      <c r="C18" s="11"/>
    </row>
    <row r="19" spans="1:3" ht="15" customHeight="1" x14ac:dyDescent="0.25">
      <c r="A19" s="188" t="s">
        <v>14</v>
      </c>
      <c r="B19" s="188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90" zoomScaleNormal="90" zoomScaleSheetLayoutView="40" zoomScalePageLayoutView="50" workbookViewId="0">
      <pane xSplit="4" ySplit="4" topLeftCell="P5" activePane="bottomRight" state="frozenSplit"/>
      <selection pane="topRight" activeCell="E1" sqref="E1"/>
      <selection pane="bottomLeft" activeCell="A3" sqref="A3"/>
      <selection pane="bottomRight" activeCell="E10" sqref="E10"/>
    </sheetView>
  </sheetViews>
  <sheetFormatPr baseColWidth="10" defaultColWidth="10.6328125" defaultRowHeight="39.6" outlineLevelCol="1" x14ac:dyDescent="0.2"/>
  <cols>
    <col min="1" max="1" width="15.90625" style="3" customWidth="1"/>
    <col min="2" max="2" width="22.36328125" style="63" customWidth="1" outlineLevel="1"/>
    <col min="3" max="3" width="54" style="6" bestFit="1" customWidth="1"/>
    <col min="4" max="4" width="18.6328125" style="6" bestFit="1" customWidth="1"/>
    <col min="5" max="5" width="57.90625" style="6" customWidth="1"/>
    <col min="6" max="8" width="14.6328125" style="7" customWidth="1"/>
    <col min="9" max="9" width="10.90625" style="7" hidden="1" customWidth="1"/>
    <col min="10" max="10" width="50.453125" style="6" customWidth="1"/>
    <col min="11" max="11" width="14.90625" style="8" customWidth="1"/>
    <col min="12" max="12" width="14.90625" style="7" customWidth="1"/>
    <col min="13" max="13" width="14.453125" style="7" customWidth="1"/>
    <col min="14" max="14" width="10.453125" style="7" hidden="1" customWidth="1"/>
    <col min="15" max="15" width="50.6328125" style="6" customWidth="1"/>
    <col min="16" max="16" width="14.90625" style="7" customWidth="1"/>
    <col min="17" max="17" width="14.90625" style="8" customWidth="1"/>
    <col min="18" max="18" width="14.453125" style="7" customWidth="1"/>
    <col min="19" max="19" width="10.6328125" style="7" hidden="1" customWidth="1"/>
    <col min="20" max="20" width="16.6328125" style="7" bestFit="1" customWidth="1"/>
    <col min="21" max="21" width="8.453125" style="2" hidden="1" customWidth="1"/>
    <col min="22" max="22" width="4.453125" style="3" customWidth="1"/>
    <col min="23" max="23" width="33.453125" style="63" hidden="1" customWidth="1" outlineLevel="1"/>
    <col min="24" max="24" width="4.453125" style="3" customWidth="1" collapsed="1"/>
    <col min="25" max="25" width="6.90625" style="3" customWidth="1"/>
    <col min="26" max="26" width="3.08984375" style="3" customWidth="1"/>
    <col min="27" max="27" width="1" style="5" customWidth="1"/>
    <col min="28" max="28" width="9.453125" style="3" customWidth="1"/>
    <col min="29" max="29" width="9.6328125" style="3" customWidth="1"/>
    <col min="30" max="16384" width="10.6328125" style="3"/>
  </cols>
  <sheetData>
    <row r="1" spans="1:27" ht="38.1" customHeight="1" x14ac:dyDescent="0.2">
      <c r="A1" s="192" t="str">
        <f>CONCATENATE(INFO!B7," - ",INFO!B9)</f>
        <v>CARABINE - AQUITAINE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7">
        <v>1</v>
      </c>
      <c r="B5" s="179">
        <f>RANK(W5,W$5:W$44,0)</f>
        <v>1</v>
      </c>
      <c r="C5" s="71" t="s">
        <v>75</v>
      </c>
      <c r="D5" s="72">
        <v>264120</v>
      </c>
      <c r="E5" s="73" t="s">
        <v>71</v>
      </c>
      <c r="F5" s="140">
        <v>73.400000000000006</v>
      </c>
      <c r="G5" s="140">
        <v>58.1</v>
      </c>
      <c r="H5" s="141">
        <f t="shared" ref="H5:H44" si="0">SUM(F5:G5)</f>
        <v>131.5</v>
      </c>
      <c r="I5" s="74"/>
      <c r="J5" s="73" t="s">
        <v>72</v>
      </c>
      <c r="K5" s="140">
        <v>70.5</v>
      </c>
      <c r="L5" s="140">
        <v>67.7</v>
      </c>
      <c r="M5" s="141">
        <f t="shared" ref="M5:M44" si="1">SUM(K5:L5)</f>
        <v>138.19999999999999</v>
      </c>
      <c r="N5" s="74"/>
      <c r="O5" s="73" t="s">
        <v>73</v>
      </c>
      <c r="P5" s="140">
        <v>99.3</v>
      </c>
      <c r="Q5" s="140">
        <v>96.4</v>
      </c>
      <c r="R5" s="141">
        <f t="shared" ref="R5:R44" si="2">SUM(P5:Q5)</f>
        <v>195.7</v>
      </c>
      <c r="S5" s="74"/>
      <c r="T5" s="146">
        <f t="shared" ref="T5:T44" si="3">SUM(H5+M5+R5)</f>
        <v>465.4</v>
      </c>
      <c r="U5" s="120">
        <f>I5+N5+S5</f>
        <v>0</v>
      </c>
      <c r="W5" s="172">
        <f>H5+M5+R5+(0.000001*(I5+N5+S5))+(0.000000001*(G5+L5+Q5))</f>
        <v>465.40000022219999</v>
      </c>
    </row>
    <row r="6" spans="1:27" s="4" customFormat="1" ht="47.1" customHeight="1" x14ac:dyDescent="0.2">
      <c r="A6" s="118">
        <v>2</v>
      </c>
      <c r="B6" s="180">
        <f t="shared" ref="B6:B44" si="4">RANK(W6,W$5:W$44,0)</f>
        <v>2</v>
      </c>
      <c r="C6" s="71" t="s">
        <v>76</v>
      </c>
      <c r="D6" s="72">
        <v>264120</v>
      </c>
      <c r="E6" s="67" t="s">
        <v>77</v>
      </c>
      <c r="F6" s="142">
        <v>59.5</v>
      </c>
      <c r="G6" s="142">
        <v>47.7</v>
      </c>
      <c r="H6" s="143">
        <f t="shared" si="0"/>
        <v>107.2</v>
      </c>
      <c r="I6" s="68"/>
      <c r="J6" s="67" t="s">
        <v>74</v>
      </c>
      <c r="K6" s="142">
        <v>64.400000000000006</v>
      </c>
      <c r="L6" s="142">
        <v>65.7</v>
      </c>
      <c r="M6" s="143">
        <f t="shared" si="1"/>
        <v>130.10000000000002</v>
      </c>
      <c r="N6" s="68"/>
      <c r="O6" s="67" t="s">
        <v>78</v>
      </c>
      <c r="P6" s="142">
        <v>87.7</v>
      </c>
      <c r="Q6" s="142">
        <v>87</v>
      </c>
      <c r="R6" s="143">
        <f t="shared" si="2"/>
        <v>174.7</v>
      </c>
      <c r="S6" s="68"/>
      <c r="T6" s="147">
        <f t="shared" si="3"/>
        <v>412</v>
      </c>
      <c r="U6" s="121">
        <f t="shared" ref="U6:U44" si="5">I6+N6+S6</f>
        <v>0</v>
      </c>
      <c r="W6" s="172">
        <f t="shared" ref="W6:W44" si="6">H6+M6+R6+(0.000001*(I6+N6+S6))+(0.000000001*(G6+L6+Q6))</f>
        <v>412.0000002004</v>
      </c>
    </row>
    <row r="7" spans="1:27" s="4" customFormat="1" ht="47.1" customHeight="1" x14ac:dyDescent="0.2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 x14ac:dyDescent="0.2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 x14ac:dyDescent="0.2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 x14ac:dyDescent="0.2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 x14ac:dyDescent="0.2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 x14ac:dyDescent="0.2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 x14ac:dyDescent="0.2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 x14ac:dyDescent="0.2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 x14ac:dyDescent="0.2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 x14ac:dyDescent="0.2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 x14ac:dyDescent="0.2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 x14ac:dyDescent="0.2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 x14ac:dyDescent="0.2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 x14ac:dyDescent="0.2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 x14ac:dyDescent="0.2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 x14ac:dyDescent="0.2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 x14ac:dyDescent="0.2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 x14ac:dyDescent="0.2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 x14ac:dyDescent="0.2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 x14ac:dyDescent="0.2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 x14ac:dyDescent="0.2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 x14ac:dyDescent="0.2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 x14ac:dyDescent="0.2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 x14ac:dyDescent="0.2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 x14ac:dyDescent="0.2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 x14ac:dyDescent="0.2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 x14ac:dyDescent="0.2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 x14ac:dyDescent="0.2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 x14ac:dyDescent="0.2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 x14ac:dyDescent="0.2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 x14ac:dyDescent="0.2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 x14ac:dyDescent="0.2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 x14ac:dyDescent="0.2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 x14ac:dyDescent="0.2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 x14ac:dyDescent="0.2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 x14ac:dyDescent="0.2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 x14ac:dyDescent="0.2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 x14ac:dyDescent="0.25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0.200000000000003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tabSelected="1" zoomScale="40" zoomScaleNormal="40" zoomScaleSheetLayoutView="40" zoomScalePageLayoutView="35" workbookViewId="0"/>
  </sheetViews>
  <sheetFormatPr baseColWidth="10" defaultColWidth="10.6328125" defaultRowHeight="39.6" x14ac:dyDescent="0.2"/>
  <cols>
    <col min="1" max="1" width="15.90625" style="81" customWidth="1"/>
    <col min="2" max="2" width="49.08984375" style="90" customWidth="1"/>
    <col min="3" max="3" width="21.08984375" style="90" customWidth="1"/>
    <col min="4" max="4" width="46.36328125" style="90" customWidth="1"/>
    <col min="5" max="7" width="14.453125" style="91" customWidth="1"/>
    <col min="8" max="8" width="8.984375E-2" style="91" customWidth="1"/>
    <col min="9" max="9" width="48.08984375" style="90" customWidth="1"/>
    <col min="10" max="10" width="14.453125" style="92" customWidth="1"/>
    <col min="11" max="11" width="14.453125" style="91" customWidth="1"/>
    <col min="12" max="12" width="14" style="91" customWidth="1"/>
    <col min="13" max="13" width="10.453125" style="91" hidden="1" customWidth="1"/>
    <col min="14" max="14" width="50.6328125" style="90" customWidth="1"/>
    <col min="15" max="15" width="14.6328125" style="91" customWidth="1"/>
    <col min="16" max="16" width="14.6328125" style="92" customWidth="1"/>
    <col min="17" max="17" width="14.6328125" style="91" customWidth="1"/>
    <col min="18" max="18" width="10.6328125" style="91" hidden="1" customWidth="1"/>
    <col min="19" max="19" width="16.6328125" style="91" bestFit="1" customWidth="1"/>
    <col min="20" max="20" width="8.453125" style="93" hidden="1" customWidth="1"/>
    <col min="21" max="21" width="4.453125" style="81" customWidth="1"/>
    <col min="22" max="22" width="19.08984375" style="81" customWidth="1"/>
    <col min="23" max="23" width="4.453125" style="81" customWidth="1"/>
    <col min="24" max="24" width="6.90625" style="81" customWidth="1"/>
    <col min="25" max="25" width="3.08984375" style="81" customWidth="1"/>
    <col min="26" max="26" width="1" style="82" customWidth="1"/>
    <col min="27" max="27" width="9.453125" style="81" customWidth="1"/>
    <col min="28" max="28" width="9.6328125" style="81" customWidth="1"/>
    <col min="29" max="16384" width="10.6328125" style="81"/>
  </cols>
  <sheetData>
    <row r="1" spans="1:26" ht="146.1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 x14ac:dyDescent="0.2">
      <c r="A2" s="210" t="str">
        <f>CONCATENATE("MATCH DE QUALIFICATION"," - ",INFO!B7," - ",INFO!B9)</f>
        <v>MATCH DE QUALIFICATION - CARABINE - AQUITAINE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 x14ac:dyDescent="0.2">
      <c r="A5" s="85">
        <v>1</v>
      </c>
      <c r="B5" s="139" t="str">
        <f>VLOOKUP(A5,saisie!B$5:W$44,2,0)</f>
        <v>ST.Ciboure C1</v>
      </c>
      <c r="C5" s="86">
        <f>VLOOKUP(A5,saisie!B$5:W$44,3,0)</f>
        <v>264120</v>
      </c>
      <c r="D5" s="83" t="str">
        <f>VLOOKUP(A5,saisie!B$5:W$44,4,0)</f>
        <v>DE AIZPURA-CHAON Nora</v>
      </c>
      <c r="E5" s="149">
        <f>VLOOKUP(A5,saisie!B$5:W$44,5,0)</f>
        <v>73.400000000000006</v>
      </c>
      <c r="F5" s="149">
        <f>VLOOKUP(A5,saisie!B$5:W$44,6,0)</f>
        <v>58.1</v>
      </c>
      <c r="G5" s="150">
        <f t="shared" ref="G5:G44" si="0">SUM(E5:F5)</f>
        <v>131.5</v>
      </c>
      <c r="H5" s="87">
        <f>VLOOKUP(A5,saisie!B$5:W$44,8,0)</f>
        <v>0</v>
      </c>
      <c r="I5" s="83" t="str">
        <f>VLOOKUP(A5,saisie!B$5:W$44,9,0)</f>
        <v>RACLOT Eneka</v>
      </c>
      <c r="J5" s="149">
        <f>VLOOKUP(A5,saisie!B$5:W$44,10,0)</f>
        <v>70.5</v>
      </c>
      <c r="K5" s="149">
        <f>VLOOKUP(A5,saisie!B$5:W$44,11,0)</f>
        <v>67.7</v>
      </c>
      <c r="L5" s="150">
        <f t="shared" ref="L5:L44" si="1">SUM(J5:K5)</f>
        <v>138.19999999999999</v>
      </c>
      <c r="M5" s="87">
        <f>VLOOKUP(A5,saisie!B$5:W$44,13,0)</f>
        <v>0</v>
      </c>
      <c r="N5" s="83" t="str">
        <f>VLOOKUP(A5,saisie!B$5:W$44,14,0)</f>
        <v>DEVALM-MEZA Camille</v>
      </c>
      <c r="O5" s="149">
        <f>VLOOKUP(A5,saisie!B$5:W$44,15,0)</f>
        <v>99.3</v>
      </c>
      <c r="P5" s="149">
        <f>VLOOKUP(A5,saisie!B$5:W$44,16,0)</f>
        <v>96.4</v>
      </c>
      <c r="Q5" s="150">
        <f t="shared" ref="Q5:Q44" si="2">SUM(O5:P5)</f>
        <v>195.7</v>
      </c>
      <c r="R5" s="87">
        <f>VLOOKUP(A5,saisie!B$5:W$44,18,0)</f>
        <v>0</v>
      </c>
      <c r="S5" s="151">
        <f t="shared" ref="S5:S44" si="3">SUM(G5+L5+Q5)</f>
        <v>465.4</v>
      </c>
      <c r="T5" s="88">
        <f>VLOOKUP(A5,saisie!B$5:W$44,20,0)</f>
        <v>0</v>
      </c>
    </row>
    <row r="6" spans="1:26" s="89" customFormat="1" ht="47.1" customHeight="1" x14ac:dyDescent="0.2">
      <c r="A6" s="85">
        <f>IF(INFO!B8&gt;1,2,"")</f>
        <v>2</v>
      </c>
      <c r="B6" s="139" t="str">
        <f>VLOOKUP(A6,saisie!B$5:W$44,2,0)</f>
        <v>ST.Ciboure C2</v>
      </c>
      <c r="C6" s="86">
        <f>VLOOKUP(A6,saisie!B$5:W$44,3,0)</f>
        <v>264120</v>
      </c>
      <c r="D6" s="83" t="str">
        <f>VLOOKUP(A6,saisie!B$5:W$44,4,0)</f>
        <v>MAC CALLUM Axel</v>
      </c>
      <c r="E6" s="149">
        <f>VLOOKUP(A6,saisie!B$5:W$44,5,0)</f>
        <v>59.5</v>
      </c>
      <c r="F6" s="149">
        <f>VLOOKUP(A6,saisie!B$5:W$44,6,0)</f>
        <v>47.7</v>
      </c>
      <c r="G6" s="150">
        <f t="shared" si="0"/>
        <v>107.2</v>
      </c>
      <c r="H6" s="87">
        <f>VLOOKUP(A6,saisie!B$5:W$44,8,0)</f>
        <v>0</v>
      </c>
      <c r="I6" s="83" t="str">
        <f>VLOOKUP(A6,saisie!B$5:W$44,9,0)</f>
        <v>PISHCHUGIN Vladislav</v>
      </c>
      <c r="J6" s="149">
        <f>VLOOKUP(A6,saisie!B$5:W$44,10,0)</f>
        <v>64.400000000000006</v>
      </c>
      <c r="K6" s="149">
        <f>VLOOKUP(A6,saisie!B$5:W$44,11,0)</f>
        <v>65.7</v>
      </c>
      <c r="L6" s="150">
        <f t="shared" si="1"/>
        <v>130.10000000000002</v>
      </c>
      <c r="M6" s="87">
        <f>VLOOKUP(A6,saisie!B$5:W$44,13,0)</f>
        <v>0</v>
      </c>
      <c r="N6" s="83" t="str">
        <f>VLOOKUP(A6,saisie!B$5:W$44,14,0)</f>
        <v>CAETANO Yanis</v>
      </c>
      <c r="O6" s="149">
        <f>VLOOKUP(A6,saisie!B$5:W$44,15,0)</f>
        <v>87.7</v>
      </c>
      <c r="P6" s="149">
        <f>VLOOKUP(A6,saisie!B$5:W$44,16,0)</f>
        <v>87</v>
      </c>
      <c r="Q6" s="150">
        <f t="shared" si="2"/>
        <v>174.7</v>
      </c>
      <c r="R6" s="87">
        <f>VLOOKUP(A6,saisie!B$5:W$44,18,0)</f>
        <v>0</v>
      </c>
      <c r="S6" s="151">
        <f t="shared" si="3"/>
        <v>412</v>
      </c>
      <c r="T6" s="88">
        <f>VLOOKUP(A6,saisie!B$5:W$44,20,0)</f>
        <v>0</v>
      </c>
    </row>
    <row r="7" spans="1:26" s="89" customFormat="1" ht="47.1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90625" defaultRowHeight="15" x14ac:dyDescent="0.2"/>
  <cols>
    <col min="1" max="1" width="6.90625" style="1" customWidth="1"/>
    <col min="2" max="2" width="20.6328125" style="1" customWidth="1"/>
    <col min="3" max="5" width="9.36328125" style="1" customWidth="1"/>
    <col min="6" max="6" width="6.6328125" style="1" customWidth="1"/>
    <col min="7" max="7" width="20.6328125" style="1" customWidth="1"/>
    <col min="8" max="10" width="9.36328125" style="1" customWidth="1"/>
    <col min="11" max="11" width="6.6328125" style="1" customWidth="1"/>
    <col min="12" max="12" width="20.6328125" style="1" customWidth="1"/>
    <col min="13" max="15" width="9.36328125" style="1" customWidth="1"/>
    <col min="16" max="16" width="6.6328125" style="1" customWidth="1"/>
    <col min="17" max="17" width="20.6328125" style="1" customWidth="1"/>
    <col min="18" max="20" width="9.36328125" style="1" customWidth="1"/>
    <col min="21" max="16384" width="6.90625" style="1"/>
  </cols>
  <sheetData>
    <row r="1" spans="1:22" ht="39.9" customHeight="1" x14ac:dyDescent="0.2">
      <c r="A1" s="17"/>
      <c r="B1" s="218" t="str">
        <f>CONCATENATE(INFO!B7,"    ",INFO!B9)</f>
        <v>CARABINE    AQUITAINE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7"/>
      <c r="V1" s="17"/>
    </row>
    <row r="2" spans="1:22" ht="60" customHeight="1" x14ac:dyDescent="0.2">
      <c r="A2" s="17"/>
      <c r="B2" s="219" t="s">
        <v>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" customHeight="1" thickBot="1" x14ac:dyDescent="0.25">
      <c r="A4" s="32"/>
      <c r="B4" s="152" t="s">
        <v>1</v>
      </c>
      <c r="C4" s="220" t="str">
        <f>'M Q'!B5</f>
        <v>ST.Ciboure C1</v>
      </c>
      <c r="D4" s="221"/>
      <c r="E4" s="153">
        <f>'M Q'!S5</f>
        <v>465.4</v>
      </c>
      <c r="F4" s="154"/>
      <c r="G4" s="152" t="str">
        <f>IF(INFO!B8&gt;7,"8e MQ","")</f>
        <v/>
      </c>
      <c r="H4" s="220" t="str">
        <f>IF(INFO!B8&gt;7,'M Q'!B12,"")</f>
        <v/>
      </c>
      <c r="I4" s="221"/>
      <c r="J4" s="153" t="str">
        <f>IF(INFO!B8&gt;7,'M Q'!S12,"")</f>
        <v/>
      </c>
      <c r="K4" s="154"/>
      <c r="L4" s="152" t="s">
        <v>59</v>
      </c>
      <c r="M4" s="220" t="str">
        <f>IF(INFO!B8&gt;8,'M Q'!B13,"")</f>
        <v/>
      </c>
      <c r="N4" s="221"/>
      <c r="O4" s="153" t="str">
        <f>IF(INFO!B8&gt;8,'M Q'!S13,"")</f>
        <v/>
      </c>
      <c r="P4" s="155"/>
      <c r="Q4" s="152" t="s">
        <v>52</v>
      </c>
      <c r="R4" s="220" t="str">
        <f>IF(INFO!B8&gt;15,'M Q'!B20,"")</f>
        <v/>
      </c>
      <c r="S4" s="221"/>
      <c r="T4" s="153" t="str">
        <f>IF(INFO!B8&gt;15,'M Q'!S20,"")</f>
        <v/>
      </c>
      <c r="U4" s="32"/>
    </row>
    <row r="5" spans="1:22" s="33" customFormat="1" ht="24.9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" customHeight="1" x14ac:dyDescent="0.2">
      <c r="A6" s="31"/>
      <c r="B6" s="159" t="str">
        <f>'M Q'!D5</f>
        <v>DE AIZPURA-CHAON Nora</v>
      </c>
      <c r="C6" s="160">
        <f>'M Q'!E5</f>
        <v>73.400000000000006</v>
      </c>
      <c r="D6" s="161">
        <f>'M Q'!F5</f>
        <v>58.1</v>
      </c>
      <c r="E6" s="159">
        <f>SUM(C6:D6)</f>
        <v>131.5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" customHeight="1" x14ac:dyDescent="0.2">
      <c r="A7" s="31"/>
      <c r="B7" s="162" t="str">
        <f>'M Q'!I5</f>
        <v>RACLOT Eneka</v>
      </c>
      <c r="C7" s="163">
        <f>'M Q'!J5</f>
        <v>70.5</v>
      </c>
      <c r="D7" s="164">
        <f>'M Q'!K5</f>
        <v>67.7</v>
      </c>
      <c r="E7" s="162">
        <f>SUM(C7:D7)</f>
        <v>138.19999999999999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" customHeight="1" thickBot="1" x14ac:dyDescent="0.25">
      <c r="A8" s="31"/>
      <c r="B8" s="165" t="str">
        <f>'M Q'!N5</f>
        <v>DEVALM-MEZA Camille</v>
      </c>
      <c r="C8" s="166">
        <f>'M Q'!O5</f>
        <v>99.3</v>
      </c>
      <c r="D8" s="167">
        <f>'M Q'!P5</f>
        <v>96.4</v>
      </c>
      <c r="E8" s="165">
        <f>SUM(C8:D8)</f>
        <v>195.7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" customHeight="1" thickBot="1" x14ac:dyDescent="0.25">
      <c r="A10" s="34"/>
      <c r="B10" s="152" t="s">
        <v>2</v>
      </c>
      <c r="C10" s="220" t="str">
        <f>'M Q'!B6</f>
        <v>ST.Ciboure C2</v>
      </c>
      <c r="D10" s="221"/>
      <c r="E10" s="153">
        <f>'M Q'!S6</f>
        <v>412</v>
      </c>
      <c r="F10" s="154"/>
      <c r="G10" s="152" t="str">
        <f>IF(INFO!B8&gt;6,"7e MQ","")</f>
        <v/>
      </c>
      <c r="H10" s="220" t="str">
        <f>IF(INFO!B8&gt;6,'M Q'!B11,"")</f>
        <v/>
      </c>
      <c r="I10" s="221"/>
      <c r="J10" s="153" t="str">
        <f>IF(INFO!B8&gt;6,'M Q'!S11,"")</f>
        <v/>
      </c>
      <c r="K10" s="154"/>
      <c r="L10" s="152" t="s">
        <v>58</v>
      </c>
      <c r="M10" s="220" t="str">
        <f>IF(INFO!B8&gt;9,'M Q'!B14,"")</f>
        <v/>
      </c>
      <c r="N10" s="221"/>
      <c r="O10" s="153" t="str">
        <f>IF(INFO!B8&gt;9,'M Q'!S14,"")</f>
        <v/>
      </c>
      <c r="P10" s="155"/>
      <c r="Q10" s="152" t="s">
        <v>53</v>
      </c>
      <c r="R10" s="220" t="str">
        <f>IF(INFO!B8&gt;14,'M Q'!B19,"")</f>
        <v/>
      </c>
      <c r="S10" s="221"/>
      <c r="T10" s="153" t="str">
        <f>IF(INFO!B8&gt;14,'M Q'!S19,"")</f>
        <v/>
      </c>
      <c r="U10" s="32"/>
    </row>
    <row r="11" spans="1:22" s="33" customFormat="1" ht="24.9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" customHeight="1" x14ac:dyDescent="0.2">
      <c r="A12" s="31"/>
      <c r="B12" s="159" t="str">
        <f>'M Q'!D6</f>
        <v>MAC CALLUM Axel</v>
      </c>
      <c r="C12" s="160">
        <f>'M Q'!E6</f>
        <v>59.5</v>
      </c>
      <c r="D12" s="161">
        <f>'M Q'!F6</f>
        <v>47.7</v>
      </c>
      <c r="E12" s="159">
        <f>SUM(C12:D12)</f>
        <v>107.2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" customHeight="1" x14ac:dyDescent="0.2">
      <c r="A13" s="31"/>
      <c r="B13" s="162" t="str">
        <f>'M Q'!I6</f>
        <v>PISHCHUGIN Vladislav</v>
      </c>
      <c r="C13" s="163">
        <f>'M Q'!J6</f>
        <v>64.400000000000006</v>
      </c>
      <c r="D13" s="164">
        <f>'M Q'!K6</f>
        <v>65.7</v>
      </c>
      <c r="E13" s="162">
        <f>SUM(C13:D13)</f>
        <v>130.10000000000002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" customHeight="1" thickBot="1" x14ac:dyDescent="0.25">
      <c r="A14" s="31"/>
      <c r="B14" s="165" t="str">
        <f>'M Q'!N6</f>
        <v>CAETANO Yanis</v>
      </c>
      <c r="C14" s="166">
        <f>'M Q'!O6</f>
        <v>87.7</v>
      </c>
      <c r="D14" s="167">
        <f>'M Q'!P6</f>
        <v>87</v>
      </c>
      <c r="E14" s="165">
        <f>SUM(C14:D14)</f>
        <v>174.7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" customHeight="1" thickBot="1" x14ac:dyDescent="0.25">
      <c r="A16" s="34"/>
      <c r="B16" s="152" t="str">
        <f>IF(INFO!B8&gt;2,"3e MQ","")</f>
        <v/>
      </c>
      <c r="C16" s="220" t="str">
        <f>IF(INFO!B8&gt;2,'M Q'!B7,"")</f>
        <v/>
      </c>
      <c r="D16" s="221"/>
      <c r="E16" s="153" t="str">
        <f>IF(INFO!B8&gt;2,'M Q'!S7,"")</f>
        <v/>
      </c>
      <c r="F16" s="154"/>
      <c r="G16" s="152" t="str">
        <f>IF(INFO!B8&gt;5,"6e MQ","")</f>
        <v/>
      </c>
      <c r="H16" s="220" t="str">
        <f>IF(INFO!B8&gt;5,'M Q'!B10,"")</f>
        <v/>
      </c>
      <c r="I16" s="221"/>
      <c r="J16" s="153" t="str">
        <f>IF(INFO!B8&gt;5,'M Q'!S10,"")</f>
        <v/>
      </c>
      <c r="K16" s="154"/>
      <c r="L16" s="152" t="s">
        <v>57</v>
      </c>
      <c r="M16" s="220" t="str">
        <f>IF(INFO!B8&gt;10,'M Q'!B15,"")</f>
        <v/>
      </c>
      <c r="N16" s="221"/>
      <c r="O16" s="153" t="str">
        <f>IF(INFO!B8&gt;10,'M Q'!S15,"")</f>
        <v/>
      </c>
      <c r="P16" s="155"/>
      <c r="Q16" s="152" t="s">
        <v>54</v>
      </c>
      <c r="R16" s="220" t="str">
        <f>IF(INFO!B8&gt;13,'M Q'!B18,"")</f>
        <v/>
      </c>
      <c r="S16" s="221"/>
      <c r="T16" s="153" t="str">
        <f>IF(INFO!B8&gt;13,'M Q'!S18,"")</f>
        <v/>
      </c>
      <c r="U16" s="32"/>
    </row>
    <row r="17" spans="1:21" s="33" customFormat="1" ht="24.9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" customHeight="1" thickBot="1" x14ac:dyDescent="0.25">
      <c r="A22" s="34"/>
      <c r="B22" s="152" t="str">
        <f>IF(INFO!B8&gt;3,"4e MQ","")</f>
        <v/>
      </c>
      <c r="C22" s="220" t="str">
        <f>IF(INFO!B8&gt;3,'M Q'!B8,"")</f>
        <v/>
      </c>
      <c r="D22" s="221"/>
      <c r="E22" s="153" t="str">
        <f>IF(INFO!B8&gt;3,'M Q'!S8,"")</f>
        <v/>
      </c>
      <c r="F22" s="154"/>
      <c r="G22" s="152" t="str">
        <f>IF(INFO!B8&gt;4,"5e MQ","")</f>
        <v/>
      </c>
      <c r="H22" s="220" t="str">
        <f>IF(INFO!B8&gt;4,'M Q'!B9,"")</f>
        <v/>
      </c>
      <c r="I22" s="221"/>
      <c r="J22" s="153" t="str">
        <f>IF(INFO!B8&gt;4,'M Q'!S9,"")</f>
        <v/>
      </c>
      <c r="K22" s="154"/>
      <c r="L22" s="152" t="s">
        <v>56</v>
      </c>
      <c r="M22" s="220" t="str">
        <f>IF(INFO!B8&gt;11,'M Q'!B16,"")</f>
        <v/>
      </c>
      <c r="N22" s="221"/>
      <c r="O22" s="153" t="str">
        <f>IF(INFO!B8&gt;11,'M Q'!S16,"")</f>
        <v/>
      </c>
      <c r="P22" s="155"/>
      <c r="Q22" s="152" t="s">
        <v>55</v>
      </c>
      <c r="R22" s="220" t="str">
        <f>IF(INFO!B8&gt;12,'M Q'!B17,"")</f>
        <v/>
      </c>
      <c r="S22" s="221"/>
      <c r="T22" s="153" t="str">
        <f>IF(INFO!B8&gt;12,'M Q'!S17,"")</f>
        <v/>
      </c>
      <c r="U22" s="32"/>
    </row>
    <row r="23" spans="1:21" s="33" customFormat="1" ht="24.9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3" activePane="bottomLeft" state="frozenSplit"/>
      <selection sqref="A1:C1"/>
      <selection pane="bottomLeft" activeCell="G50" activeCellId="3" sqref="N50:N54 Q50:Q54 D50:D54 G50:G54"/>
    </sheetView>
  </sheetViews>
  <sheetFormatPr baseColWidth="10" defaultColWidth="8.08984375" defaultRowHeight="27.9" customHeight="1" outlineLevelRow="2" x14ac:dyDescent="0.2"/>
  <cols>
    <col min="1" max="1" width="8.08984375" style="25" customWidth="1"/>
    <col min="2" max="2" width="10.6328125" style="25" customWidth="1"/>
    <col min="3" max="4" width="8.08984375" style="25" customWidth="1"/>
    <col min="5" max="6" width="6.6328125" style="25" customWidth="1"/>
    <col min="7" max="8" width="8.08984375" style="25" customWidth="1"/>
    <col min="9" max="9" width="10.6328125" style="25" customWidth="1"/>
    <col min="10" max="11" width="8.08984375" style="25" customWidth="1"/>
    <col min="12" max="12" width="10.6328125" style="25" customWidth="1"/>
    <col min="13" max="14" width="8.08984375" style="25" customWidth="1"/>
    <col min="15" max="16" width="6.6328125" style="25" customWidth="1"/>
    <col min="17" max="18" width="8.08984375" style="25" customWidth="1"/>
    <col min="19" max="19" width="10.6328125" style="25" customWidth="1"/>
    <col min="20" max="16384" width="8.08984375" style="25"/>
  </cols>
  <sheetData>
    <row r="1" spans="1:22" ht="50.1" customHeight="1" x14ac:dyDescent="0.2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 x14ac:dyDescent="0.25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" customHeight="1" outlineLevel="1" thickBot="1" x14ac:dyDescent="0.25">
      <c r="B4" s="240" t="str">
        <f>'Clb Q'!C4</f>
        <v>ST.Ciboure C1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" customHeight="1" outlineLevel="2" x14ac:dyDescent="0.2">
      <c r="B5" s="237" t="str">
        <f>'Clb Q'!B6</f>
        <v>DE AIZPURA-CHAON Nora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" customHeight="1" outlineLevel="2" x14ac:dyDescent="0.2">
      <c r="B6" s="237" t="str">
        <f>'Clb Q'!B7</f>
        <v>RACLOT Eneka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" customHeight="1" outlineLevel="2" thickBot="1" x14ac:dyDescent="0.25">
      <c r="B7" s="237" t="str">
        <f>'Clb Q'!B8</f>
        <v>DEVALM-MEZA Camille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" customHeight="1" outlineLevel="1" x14ac:dyDescent="0.2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" customHeight="1" outlineLevel="1" x14ac:dyDescent="0.2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" customHeight="1" outlineLevel="1" x14ac:dyDescent="0.2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" customHeight="1" outlineLevel="1" x14ac:dyDescent="0.2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" customHeight="1" outlineLevel="1" thickBot="1" x14ac:dyDescent="0.25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" customHeight="1" outlineLevel="1" thickBot="1" x14ac:dyDescent="0.25">
      <c r="J13" s="28"/>
      <c r="K13" s="28"/>
      <c r="U13" s="30"/>
    </row>
    <row r="14" spans="1:22" s="38" customFormat="1" ht="27.9" customHeight="1" outlineLevel="1" thickBot="1" x14ac:dyDescent="0.25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" customHeight="1" outlineLevel="2" x14ac:dyDescent="0.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" customHeight="1" outlineLevel="2" x14ac:dyDescent="0.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" customHeight="1" outlineLevel="2" thickBot="1" x14ac:dyDescent="0.25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" customHeight="1" outlineLevel="1" x14ac:dyDescent="0.2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" customHeight="1" outlineLevel="1" x14ac:dyDescent="0.2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" customHeight="1" outlineLevel="1" x14ac:dyDescent="0.2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" customHeight="1" outlineLevel="1" x14ac:dyDescent="0.2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" customHeight="1" outlineLevel="1" thickBot="1" x14ac:dyDescent="0.25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" customHeight="1" outlineLevel="1" thickBot="1" x14ac:dyDescent="0.25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" customHeight="1" outlineLevel="2" x14ac:dyDescent="0.2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" customHeight="1" outlineLevel="2" x14ac:dyDescent="0.2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" customHeight="1" outlineLevel="2" thickBot="1" x14ac:dyDescent="0.25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" customHeight="1" outlineLevel="1" x14ac:dyDescent="0.2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" customHeight="1" outlineLevel="1" x14ac:dyDescent="0.2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" customHeight="1" outlineLevel="1" x14ac:dyDescent="0.2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" customHeight="1" outlineLevel="1" x14ac:dyDescent="0.2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" customHeight="1" outlineLevel="1" thickBot="1" x14ac:dyDescent="0.25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" customHeight="1" outlineLevel="1" thickBot="1" x14ac:dyDescent="0.25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ST.Ciboure C2</v>
      </c>
      <c r="R36" s="241"/>
      <c r="S36" s="242"/>
      <c r="U36" s="42"/>
    </row>
    <row r="37" spans="1:21" s="36" customFormat="1" ht="21.9" customHeight="1" outlineLevel="2" x14ac:dyDescent="0.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MAC CALLUM Axel</v>
      </c>
      <c r="R37" s="238"/>
      <c r="S37" s="239"/>
      <c r="U37" s="43"/>
    </row>
    <row r="38" spans="1:21" s="36" customFormat="1" ht="21.9" customHeight="1" outlineLevel="2" x14ac:dyDescent="0.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PISHCHUGIN Vladislav</v>
      </c>
      <c r="R38" s="238"/>
      <c r="S38" s="239"/>
      <c r="U38" s="43"/>
    </row>
    <row r="39" spans="1:21" s="36" customFormat="1" ht="21.9" customHeight="1" outlineLevel="2" thickBot="1" x14ac:dyDescent="0.25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CAETANO Yanis</v>
      </c>
      <c r="R39" s="238"/>
      <c r="S39" s="239"/>
      <c r="U39" s="43"/>
    </row>
    <row r="40" spans="1:21" ht="21.9" customHeight="1" outlineLevel="1" x14ac:dyDescent="0.2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" customHeight="1" outlineLevel="1" x14ac:dyDescent="0.2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" customHeight="1" outlineLevel="1" x14ac:dyDescent="0.2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" customHeight="1" outlineLevel="1" x14ac:dyDescent="0.2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" customHeight="1" outlineLevel="1" thickBot="1" x14ac:dyDescent="0.25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 x14ac:dyDescent="0.25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" customHeight="1" thickBot="1" x14ac:dyDescent="0.25">
      <c r="B46" s="265" t="str">
        <f>IF(G4="",B4,IF(B8="","",IF(B8&gt;2,B4,IF(H8&gt;2,G4,""))))</f>
        <v>ST.Ciboure C1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" customHeight="1" outlineLevel="1" x14ac:dyDescent="0.2">
      <c r="B47" s="232" t="str">
        <f>IF(G4="",B5,IF(B8="","",IF(B8&gt;2,B5,IF(H8&gt;2,G5,""))))</f>
        <v>DE AIZPURA-CHAON Nora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" customHeight="1" outlineLevel="1" x14ac:dyDescent="0.2">
      <c r="B48" s="232" t="str">
        <f>IF(G4="",B6,IF(B8="","",IF(B8&gt;2,B6,IF(H8&gt;2,G6,""))))</f>
        <v>RACLOT Eneka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" customHeight="1" outlineLevel="1" thickBot="1" x14ac:dyDescent="0.25">
      <c r="B49" s="232" t="str">
        <f>IF(G4="",B7,IF(B8="","",IF(B8&gt;2,B7,IF(H8&gt;2,G7,""))))</f>
        <v>DEVALM-MEZA Camille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" customHeight="1" x14ac:dyDescent="0.2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" customHeight="1" x14ac:dyDescent="0.2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" customHeight="1" x14ac:dyDescent="0.2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" customHeight="1" x14ac:dyDescent="0.2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" customHeight="1" thickBot="1" x14ac:dyDescent="0.25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" customHeight="1" thickBot="1" x14ac:dyDescent="0.25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ST.Ciboure C2</v>
      </c>
      <c r="R56" s="266"/>
      <c r="S56" s="267"/>
      <c r="U56" s="42"/>
    </row>
    <row r="57" spans="1:21" s="36" customFormat="1" ht="21.9" customHeight="1" outlineLevel="1" x14ac:dyDescent="0.2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MAC CALLUM Axel</v>
      </c>
      <c r="R57" s="233"/>
      <c r="S57" s="234"/>
      <c r="U57" s="43"/>
    </row>
    <row r="58" spans="1:21" s="36" customFormat="1" ht="21.9" customHeight="1" outlineLevel="1" x14ac:dyDescent="0.2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PISHCHUGIN Vladislav</v>
      </c>
      <c r="R58" s="233"/>
      <c r="S58" s="234"/>
      <c r="U58" s="43"/>
    </row>
    <row r="59" spans="1:21" s="36" customFormat="1" ht="21.9" customHeight="1" outlineLevel="1" thickBot="1" x14ac:dyDescent="0.25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CAETANO Yanis</v>
      </c>
      <c r="R59" s="233"/>
      <c r="S59" s="234"/>
      <c r="U59" s="43"/>
    </row>
    <row r="60" spans="1:21" ht="21.9" customHeight="1" x14ac:dyDescent="0.2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>
        <f>IF(N60="","",IF(N60&gt;1,1,0))</f>
        <v>0</v>
      </c>
      <c r="L60" s="226">
        <f>IF(N60="","",SUM(K60:K64))</f>
        <v>0</v>
      </c>
      <c r="M60" s="235"/>
      <c r="N60" s="78">
        <v>0</v>
      </c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" customHeight="1" x14ac:dyDescent="0.2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>
        <f>IF(N61="","",IF(N61&gt;1,1,0))</f>
        <v>0</v>
      </c>
      <c r="L61" s="228"/>
      <c r="M61" s="236"/>
      <c r="N61" s="79">
        <v>0</v>
      </c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" customHeight="1" x14ac:dyDescent="0.2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>
        <f>IF(N62="","",IF(N62&gt;1,1,0))</f>
        <v>0</v>
      </c>
      <c r="L62" s="228"/>
      <c r="M62" s="236"/>
      <c r="N62" s="79">
        <v>0</v>
      </c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" customHeight="1" x14ac:dyDescent="0.2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" customHeight="1" thickBot="1" x14ac:dyDescent="0.25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" hidden="1" customHeight="1" outlineLevel="1" x14ac:dyDescent="0.2">
      <c r="J65" s="30"/>
    </row>
    <row r="66" spans="1:21" ht="60" customHeight="1" collapsed="1" thickBot="1" x14ac:dyDescent="0.25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" customHeight="1" thickBot="1" x14ac:dyDescent="0.25">
      <c r="B67" s="246" t="str">
        <f>IF(G46="",B46,IF(B50="","",IF(H50="","",IF(B50&gt;2,B46,IF(H50&gt;2,G46,"")))))</f>
        <v>ST.Ciboure C1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ST.Ciboure C2</v>
      </c>
      <c r="R67" s="247"/>
      <c r="S67" s="248"/>
    </row>
    <row r="68" spans="1:21" s="36" customFormat="1" ht="21.9" customHeight="1" outlineLevel="1" x14ac:dyDescent="0.2">
      <c r="B68" s="243" t="str">
        <f>IF(G46="",B47,IF(B50="","",IF(H50="","",IF(B50&gt;2,B47,IF(H50&gt;2,G47,"")))))</f>
        <v>DE AIZPURA-CHAON Nora</v>
      </c>
      <c r="C68" s="244"/>
      <c r="D68" s="245"/>
      <c r="E68" s="130">
        <v>6</v>
      </c>
      <c r="F68" s="131">
        <v>7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14</v>
      </c>
      <c r="P68" s="133">
        <v>15</v>
      </c>
      <c r="Q68" s="243" t="str">
        <f>IF(L56="",Q57,IF(L60="","",IF(R60="","",IF(L60&gt;2,L57,IF(R60&gt;2,Q57,"")))))</f>
        <v>MAC CALLUM Axel</v>
      </c>
      <c r="R68" s="244"/>
      <c r="S68" s="245"/>
    </row>
    <row r="69" spans="1:21" s="36" customFormat="1" ht="21.9" customHeight="1" outlineLevel="1" x14ac:dyDescent="0.2">
      <c r="B69" s="243" t="str">
        <f>IF(G46="",B48,IF(B50="","",IF(H50="","",IF(B50&gt;2,B48,IF(H50&gt;2,G48,"")))))</f>
        <v>RACLOT Eneka</v>
      </c>
      <c r="C69" s="244"/>
      <c r="D69" s="245"/>
      <c r="E69" s="130">
        <v>8</v>
      </c>
      <c r="F69" s="131">
        <v>9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16</v>
      </c>
      <c r="P69" s="133">
        <v>17</v>
      </c>
      <c r="Q69" s="243" t="str">
        <f>IF(L56="",Q58,IF(L60="","",IF(R60="","",IF(L60&gt;2,L58,IF(R60&gt;2,Q58,"")))))</f>
        <v>PISHCHUGIN Vladislav</v>
      </c>
      <c r="R69" s="244"/>
      <c r="S69" s="245"/>
    </row>
    <row r="70" spans="1:21" s="36" customFormat="1" ht="21.9" customHeight="1" outlineLevel="1" thickBot="1" x14ac:dyDescent="0.25">
      <c r="B70" s="243" t="str">
        <f>IF(G46="",B49,IF(B50="","",IF(H50="","",IF(B50&gt;2,B49,IF(H50&gt;2,G49,"")))))</f>
        <v>DEVALM-MEZA Camille</v>
      </c>
      <c r="C70" s="244"/>
      <c r="D70" s="245"/>
      <c r="E70" s="130">
        <v>10</v>
      </c>
      <c r="F70" s="131">
        <v>11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18</v>
      </c>
      <c r="P70" s="133">
        <v>19</v>
      </c>
      <c r="Q70" s="243" t="str">
        <f>IF(L56="",Q59,IF(L60="","",IF(R60="","",IF(L60&gt;2,L59,IF(R60&gt;2,Q59,"")))))</f>
        <v>CAETANO Yanis</v>
      </c>
      <c r="R70" s="244"/>
      <c r="S70" s="245"/>
    </row>
    <row r="71" spans="1:21" ht="21.9" customHeight="1" x14ac:dyDescent="0.2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1.9" customHeight="1" x14ac:dyDescent="0.2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1.9" customHeight="1" x14ac:dyDescent="0.2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1.9" customHeight="1" x14ac:dyDescent="0.2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1.9" customHeight="1" x14ac:dyDescent="0.2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1.9" customHeight="1" x14ac:dyDescent="0.2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1.9" customHeight="1" thickBot="1" x14ac:dyDescent="0.25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" customHeight="1" thickBot="1" x14ac:dyDescent="0.25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1.9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" customHeight="1" x14ac:dyDescent="0.2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" customHeight="1" x14ac:dyDescent="0.2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" customHeight="1" x14ac:dyDescent="0.2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" customHeight="1" x14ac:dyDescent="0.2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" customHeight="1" x14ac:dyDescent="0.2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" customHeight="1" x14ac:dyDescent="0.2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" customHeight="1" thickBot="1" x14ac:dyDescent="0.25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" customHeight="1" thickBot="1" x14ac:dyDescent="0.25">
      <c r="F94" s="39"/>
      <c r="G94" s="254" t="str">
        <f>IF(G67="",B67,IF(B71="","",IF(H71="","",IF(B71&gt;3,B67,IF(H71&gt;3,G67,"")))))</f>
        <v>ST.Ciboure C1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ST.Ciboure C2</v>
      </c>
      <c r="M94" s="255"/>
      <c r="N94" s="256"/>
      <c r="O94" s="38"/>
    </row>
    <row r="95" spans="6:21" ht="20.100000000000001" customHeight="1" outlineLevel="1" x14ac:dyDescent="0.2">
      <c r="F95" s="35"/>
      <c r="G95" s="251" t="str">
        <f>IF(G67="",B68,IF(B71="","",IF(H71="","",IF(B71&gt;3,B68,IF(H71&gt;3,G68,"")))))</f>
        <v>DE AIZPURA-CHAON Nora</v>
      </c>
      <c r="H95" s="252"/>
      <c r="I95" s="253"/>
      <c r="J95" s="136">
        <v>6</v>
      </c>
      <c r="K95" s="137">
        <v>7</v>
      </c>
      <c r="L95" s="251" t="str">
        <f>IF(L67="",Q68,IF(L71="","",IF(R71="","",IF(L71&gt;3,L68,IF(R71&gt;3,Q68,"")))))</f>
        <v>MAC CALLUM Axel</v>
      </c>
      <c r="M95" s="252"/>
      <c r="N95" s="253"/>
      <c r="O95" s="36"/>
    </row>
    <row r="96" spans="6:21" ht="20.100000000000001" customHeight="1" outlineLevel="1" x14ac:dyDescent="0.2">
      <c r="F96" s="35"/>
      <c r="G96" s="251" t="str">
        <f>IF(G67="",B69,IF(B71="","",IF(H71="","",IF(B71&gt;3,B69,IF(H71&gt;3,G69,"")))))</f>
        <v>RACLOT Eneka</v>
      </c>
      <c r="H96" s="252"/>
      <c r="I96" s="253"/>
      <c r="J96" s="136">
        <v>8</v>
      </c>
      <c r="K96" s="137">
        <v>9</v>
      </c>
      <c r="L96" s="251" t="str">
        <f>IF(L67="",Q69,IF(L71="","",IF(R71="","",IF(L71&gt;3,L69,IF(R71&gt;3,Q69,"")))))</f>
        <v>PISHCHUGIN Vladislav</v>
      </c>
      <c r="M96" s="252"/>
      <c r="N96" s="253"/>
      <c r="O96" s="36"/>
    </row>
    <row r="97" spans="5:15" ht="20.100000000000001" customHeight="1" outlineLevel="1" thickBot="1" x14ac:dyDescent="0.25">
      <c r="F97" s="35"/>
      <c r="G97" s="251" t="str">
        <f>IF(G67="",B70,IF(B71="","",IF(H71="","",IF(B71&gt;3,B70,IF(H71&gt;3,G70,"")))))</f>
        <v>DEVALM-MEZA Camille</v>
      </c>
      <c r="H97" s="252"/>
      <c r="I97" s="253"/>
      <c r="J97" s="136">
        <v>10</v>
      </c>
      <c r="K97" s="137">
        <v>11</v>
      </c>
      <c r="L97" s="251" t="str">
        <f>IF(L67="",Q70,IF(L71="","",IF(R71="","",IF(L71&gt;3,L70,IF(R71&gt;3,Q70,"")))))</f>
        <v>CAETANO Yanis</v>
      </c>
      <c r="M97" s="252"/>
      <c r="N97" s="253"/>
      <c r="O97" s="36"/>
    </row>
    <row r="98" spans="5:15" ht="21.9" customHeight="1" x14ac:dyDescent="0.2">
      <c r="E98" s="30"/>
      <c r="F98" s="44" t="str">
        <f>IF(I98="","",IF(I98&gt;1,1,0))</f>
        <v/>
      </c>
      <c r="G98" s="226" t="str">
        <f>IF(I98="","",SUM(F98:F104))</f>
        <v/>
      </c>
      <c r="H98" s="235"/>
      <c r="I98" s="78"/>
      <c r="J98" s="257"/>
      <c r="K98" s="258"/>
      <c r="L98" s="78"/>
      <c r="M98" s="225" t="str">
        <f>IF(L98="","",SUM(O98:O104))</f>
        <v/>
      </c>
      <c r="N98" s="226"/>
      <c r="O98" s="41" t="str">
        <f>IF(L98="","",IF(L98&gt;1,1,0))</f>
        <v/>
      </c>
    </row>
    <row r="99" spans="5:15" ht="21.9" customHeight="1" x14ac:dyDescent="0.2">
      <c r="E99" s="30"/>
      <c r="F99" s="44" t="str">
        <f t="shared" ref="F99:F104" si="6">IF(I99="","",IF(I99&gt;1,1,0))</f>
        <v/>
      </c>
      <c r="G99" s="228"/>
      <c r="H99" s="236"/>
      <c r="I99" s="79"/>
      <c r="J99" s="223"/>
      <c r="K99" s="224"/>
      <c r="L99" s="79"/>
      <c r="M99" s="227"/>
      <c r="N99" s="228"/>
      <c r="O99" s="41" t="str">
        <f t="shared" ref="O99:O104" si="7">IF(L99="","",IF(L99&gt;1,1,0))</f>
        <v/>
      </c>
    </row>
    <row r="100" spans="5:15" ht="21.9" customHeight="1" x14ac:dyDescent="0.2">
      <c r="E100" s="30"/>
      <c r="F100" s="44" t="str">
        <f t="shared" si="6"/>
        <v/>
      </c>
      <c r="G100" s="228"/>
      <c r="H100" s="236"/>
      <c r="I100" s="79"/>
      <c r="J100" s="223"/>
      <c r="K100" s="224"/>
      <c r="L100" s="79"/>
      <c r="M100" s="227"/>
      <c r="N100" s="228"/>
      <c r="O100" s="41" t="str">
        <f t="shared" si="7"/>
        <v/>
      </c>
    </row>
    <row r="101" spans="5:15" ht="21.9" customHeight="1" x14ac:dyDescent="0.2">
      <c r="E101" s="30"/>
      <c r="F101" s="44" t="str">
        <f t="shared" si="6"/>
        <v/>
      </c>
      <c r="G101" s="228"/>
      <c r="H101" s="236"/>
      <c r="I101" s="79"/>
      <c r="J101" s="223"/>
      <c r="K101" s="224"/>
      <c r="L101" s="79"/>
      <c r="M101" s="227"/>
      <c r="N101" s="228"/>
      <c r="O101" s="41" t="str">
        <f t="shared" si="7"/>
        <v/>
      </c>
    </row>
    <row r="102" spans="5:15" ht="21.9" customHeight="1" x14ac:dyDescent="0.2">
      <c r="E102" s="30"/>
      <c r="F102" s="44" t="str">
        <f t="shared" si="6"/>
        <v/>
      </c>
      <c r="G102" s="228"/>
      <c r="H102" s="236"/>
      <c r="I102" s="79"/>
      <c r="J102" s="223"/>
      <c r="K102" s="224"/>
      <c r="L102" s="79"/>
      <c r="M102" s="227"/>
      <c r="N102" s="228"/>
      <c r="O102" s="41" t="str">
        <f t="shared" si="7"/>
        <v/>
      </c>
    </row>
    <row r="103" spans="5:15" ht="21.9" customHeight="1" x14ac:dyDescent="0.2">
      <c r="E103" s="30"/>
      <c r="F103" s="44" t="str">
        <f t="shared" si="6"/>
        <v/>
      </c>
      <c r="G103" s="228"/>
      <c r="H103" s="236"/>
      <c r="I103" s="79"/>
      <c r="J103" s="223"/>
      <c r="K103" s="224"/>
      <c r="L103" s="79"/>
      <c r="M103" s="227"/>
      <c r="N103" s="228"/>
      <c r="O103" s="41" t="str">
        <f t="shared" si="7"/>
        <v/>
      </c>
    </row>
    <row r="104" spans="5:15" ht="21.9" customHeight="1" thickBot="1" x14ac:dyDescent="0.25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7.9" customHeight="1" x14ac:dyDescent="0.2">
      <c r="E105" s="30"/>
    </row>
    <row r="106" spans="5:15" ht="27.9" customHeight="1" x14ac:dyDescent="0.2">
      <c r="E106" s="30"/>
    </row>
    <row r="107" spans="5:15" ht="27.9" customHeight="1" x14ac:dyDescent="0.2">
      <c r="E107" s="30"/>
    </row>
    <row r="108" spans="5:15" ht="27.9" customHeight="1" x14ac:dyDescent="0.2">
      <c r="E108" s="30"/>
    </row>
    <row r="109" spans="5:15" ht="27.9" customHeight="1" x14ac:dyDescent="0.2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C16" sqref="C16"/>
    </sheetView>
  </sheetViews>
  <sheetFormatPr baseColWidth="10" defaultColWidth="10.6328125" defaultRowHeight="15.6" outlineLevelCol="1" x14ac:dyDescent="0.2"/>
  <cols>
    <col min="1" max="1" width="10.6328125" style="97"/>
    <col min="2" max="2" width="50.6328125" style="97" customWidth="1"/>
    <col min="3" max="3" width="50.6328125" style="97" customWidth="1" outlineLevel="1"/>
    <col min="4" max="4" width="20.6328125" style="97" customWidth="1"/>
    <col min="5" max="5" width="12.453125" style="97" customWidth="1"/>
    <col min="6" max="6" width="6" style="97" hidden="1" customWidth="1"/>
    <col min="7" max="7" width="5.6328125" style="97" customWidth="1"/>
    <col min="8" max="8" width="8.6328125" style="97" customWidth="1"/>
    <col min="9" max="9" width="2.90625" style="97" customWidth="1"/>
    <col min="10" max="10" width="15.453125" style="97" hidden="1" customWidth="1" outlineLevel="1"/>
    <col min="11" max="11" width="18.453125" style="97" hidden="1" customWidth="1" outlineLevel="1"/>
    <col min="12" max="12" width="31.90625" style="97" hidden="1" customWidth="1" outlineLevel="1"/>
    <col min="13" max="13" width="13.36328125" style="97" hidden="1" customWidth="1" outlineLevel="1"/>
    <col min="14" max="14" width="10.6328125" style="97" collapsed="1"/>
    <col min="15" max="15" width="10.6328125" style="97"/>
    <col min="16" max="16" width="2.453125" style="97" customWidth="1"/>
    <col min="17" max="16384" width="10.6328125" style="97"/>
  </cols>
  <sheetData>
    <row r="1" spans="1:18" ht="30" customHeight="1" x14ac:dyDescent="0.2">
      <c r="A1" s="279" t="str">
        <f>CONCATENATE("PALMARES ",INFO!C6,"","CHAMPIONNAT DE FRANCE DES CLUBSECOLE DE TIR")</f>
        <v>PALMARES CHAMPIONNAT DE FRANCE DES CLUBSECOLE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AQUITAINE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 x14ac:dyDescent="0.2">
      <c r="A7" s="54">
        <v>1</v>
      </c>
      <c r="B7" s="55" t="str">
        <f>IF(A7="","",IF('P.F.'!G98&gt;3,'P.F.'!G94,IF('P.F.'!M98&gt;3,'P.F.'!L94,"")))</f>
        <v>ST.Ciboure C1</v>
      </c>
      <c r="C7" s="55"/>
      <c r="D7" s="57">
        <f>IF(A7="","",VLOOKUP(B7,'M Q'!B$5:T$20,2,0))</f>
        <v>264120</v>
      </c>
      <c r="E7" s="182">
        <f>IF(A7="","",VLOOKUP(B7,'M Q'!B$5:T$20,18,0))</f>
        <v>465.4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 x14ac:dyDescent="0.2">
      <c r="A8" s="54">
        <f>IF(INFO!B8&gt;1,2,"")</f>
        <v>2</v>
      </c>
      <c r="B8" s="55" t="str">
        <f>IF(A8="","",IF('P.F.'!G98&gt;3,'P.F.'!L94,IF('P.F.'!M98&gt;3,'P.F.'!G94,"")))</f>
        <v>ST.Ciboure C2</v>
      </c>
      <c r="C8" s="55"/>
      <c r="D8" s="57">
        <f>IF(A8="","",VLOOKUP(B8,'M Q'!B$5:T$20,2,0))</f>
        <v>264120</v>
      </c>
      <c r="E8" s="182">
        <f>IF(A8="","",VLOOKUP(B8,'M Q'!B$5:T$20,18,0))</f>
        <v>412</v>
      </c>
      <c r="F8" s="75">
        <f>IF(A8="","",VLOOKUP(B8,'M Q'!B$5:T$20,19,0))</f>
        <v>0</v>
      </c>
      <c r="G8" s="283"/>
      <c r="H8" s="19"/>
    </row>
    <row r="9" spans="1:18" s="100" customFormat="1" ht="26.1" customHeight="1" x14ac:dyDescent="0.2">
      <c r="A9" s="54" t="str">
        <f>IF(INFO!B8&gt;2,3,"")</f>
        <v/>
      </c>
      <c r="B9" s="56" t="str">
        <f>IF(A9="","",IF(INFO!B8=3,'P.F.'!L80,IF('P.F.'!G84&gt;3,'P.F.'!G80,IF('P.F.'!M84&gt;3,'P.F.'!L80,""))))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 x14ac:dyDescent="0.2">
      <c r="A10" s="50" t="str">
        <f>IF(INFO!B8&gt;3,4,"")</f>
        <v/>
      </c>
      <c r="B10" s="24" t="str">
        <f>IF(A10="","",IF('P.F.'!G84&gt;3,'P.F.'!L80,IF('P.F.'!M84&gt;3,'P.F.'!G80,"")))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IF('P.F.'!D50="",0,IF('P.F.'!B50&gt;2,'P.F.'!G46,IF('P.F.'!H50&gt;2,'P.F.'!B46,"")))</f>
        <v>0</v>
      </c>
      <c r="M11" s="107" t="e">
        <f>VLOOKUP(L11,saisie!C$5:W$44,2,0)</f>
        <v>#N/A</v>
      </c>
    </row>
    <row r="12" spans="1:18" s="100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IF('P.F.'!Q50="",0,IF('P.F.'!L50&gt;2,'P.F.'!Q46,IF('P.F.'!R50&gt;2,'P.F.'!L46,"")))</f>
        <v>0</v>
      </c>
      <c r="M12" s="107" t="e">
        <f>VLOOKUP(L12,saisie!C$5:W$44,2,0)</f>
        <v>#N/A</v>
      </c>
    </row>
    <row r="13" spans="1:18" s="100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IF('P.F.'!D60="",0,IF('P.F.'!H60&gt;2,'P.F.'!B56,IF('P.F.'!B60&gt;2,'P.F.'!G56,"")))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IF('P.F.'!Q60="",0,IF('P.F.'!R60&gt;2,'P.F.'!L56,IF('P.F.'!L60&gt;2,'P.F.'!Q56,"")))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IF('P.F.'!D8="","",IF('P.F.'!B8&gt;2,'P.F.'!G4,IF('P.F.'!H8&gt;2,'P.F.'!B4,"")))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IF('P.F.'!N8="","",IF('P.F.'!L8&gt;2,'P.F.'!Q4,IF('P.F.'!R8&gt;2,'P.F.'!L4,"")))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IF('P.F.'!G18="","",IF('P.F.'!H18&gt;2,'P.F.'!B14,IF('P.F.'!B18&gt;2,'P.F.'!G14,"")))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IF('P.F.'!Q18="","",IF('P.F.'!R18&gt;2,'P.F.'!L14,IF('P.F.'!L18&gt;2,'P.F.'!Q14,"")))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IF('P.F.'!D29="","",IF('P.F.'!B29&gt;2,'P.F.'!G25,IF('P.F.'!H29&gt;2,'P.F.'!B25,"")))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IF('P.F.'!N29="","",IF('P.F.'!L29&gt;2,'P.F.'!Q25,IF('P.F.'!R29&gt;2,'P.F.'!L25,"")))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IF('P.F.'!G40="","",IF('P.F.'!H40&gt;2,'P.F.'!B36,IF('P.F.'!B40&gt;2,'P.F.'!G36,"")))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IF('P.F.'!Q40="","",IF('P.F.'!R40&gt;2,'P.F.'!L36,IF('P.F.'!L40&gt;2,'P.F.'!Q36,"")))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4" x14ac:dyDescent="0.2"/>
    <row r="132" s="101" customFormat="1" ht="23.4" x14ac:dyDescent="0.2"/>
    <row r="133" s="101" customFormat="1" ht="23.4" x14ac:dyDescent="0.2"/>
    <row r="134" s="101" customFormat="1" ht="23.4" x14ac:dyDescent="0.2"/>
    <row r="135" s="101" customFormat="1" ht="23.4" x14ac:dyDescent="0.2"/>
    <row r="136" s="101" customFormat="1" ht="23.4" x14ac:dyDescent="0.2"/>
    <row r="137" s="101" customFormat="1" ht="23.4" x14ac:dyDescent="0.2"/>
    <row r="138" s="101" customFormat="1" ht="23.4" x14ac:dyDescent="0.2"/>
    <row r="139" s="101" customFormat="1" ht="23.4" x14ac:dyDescent="0.2"/>
    <row r="140" s="101" customFormat="1" ht="23.4" x14ac:dyDescent="0.2"/>
    <row r="141" s="101" customFormat="1" ht="23.4" x14ac:dyDescent="0.2"/>
    <row r="142" s="101" customFormat="1" ht="23.4" x14ac:dyDescent="0.2"/>
    <row r="143" s="101" customFormat="1" ht="23.4" x14ac:dyDescent="0.2"/>
    <row r="144" s="101" customFormat="1" ht="23.4" x14ac:dyDescent="0.2"/>
    <row r="145" s="101" customFormat="1" ht="23.4" x14ac:dyDescent="0.2"/>
    <row r="146" s="101" customFormat="1" ht="23.4" x14ac:dyDescent="0.2"/>
    <row r="147" s="101" customFormat="1" ht="23.4" x14ac:dyDescent="0.2"/>
    <row r="148" s="101" customFormat="1" ht="23.4" x14ac:dyDescent="0.2"/>
    <row r="149" s="101" customFormat="1" ht="23.4" x14ac:dyDescent="0.2"/>
    <row r="150" s="101" customFormat="1" ht="23.4" x14ac:dyDescent="0.2"/>
    <row r="151" s="101" customFormat="1" ht="23.4" x14ac:dyDescent="0.2"/>
    <row r="152" s="101" customFormat="1" ht="23.4" x14ac:dyDescent="0.2"/>
    <row r="153" s="101" customFormat="1" ht="23.4" x14ac:dyDescent="0.2"/>
    <row r="154" s="101" customFormat="1" ht="23.4" x14ac:dyDescent="0.2"/>
    <row r="155" s="101" customFormat="1" ht="23.4" x14ac:dyDescent="0.2"/>
    <row r="156" s="101" customFormat="1" ht="23.4" x14ac:dyDescent="0.2"/>
    <row r="157" s="101" customFormat="1" ht="23.4" x14ac:dyDescent="0.2"/>
    <row r="158" s="101" customFormat="1" ht="23.4" x14ac:dyDescent="0.2"/>
    <row r="159" s="101" customFormat="1" ht="23.4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</cp:lastModifiedBy>
  <cp:lastPrinted>2019-02-09T11:51:06Z</cp:lastPrinted>
  <dcterms:created xsi:type="dcterms:W3CDTF">2004-11-19T11:01:00Z</dcterms:created>
  <dcterms:modified xsi:type="dcterms:W3CDTF">2022-01-24T07:59:25Z</dcterms:modified>
</cp:coreProperties>
</file>