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64\CFDC_2025\"/>
    </mc:Choice>
  </mc:AlternateContent>
  <xr:revisionPtr revIDLastSave="0" documentId="8_{934D723D-AA05-4DCC-821A-A03083754846}" xr6:coauthVersionLast="47" xr6:coauthVersionMax="47" xr10:uidLastSave="{00000000-0000-0000-0000-000000000000}"/>
  <bookViews>
    <workbookView xWindow="585" yWindow="600" windowWidth="28215" windowHeight="15600" tabRatio="960" activeTab="1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32" l="1"/>
  <c r="F27" i="32"/>
  <c r="E27" i="32"/>
  <c r="D27" i="32"/>
  <c r="B27" i="32"/>
  <c r="A26" i="32"/>
  <c r="F26" i="32"/>
  <c r="E26" i="32"/>
  <c r="D26" i="32"/>
  <c r="B26" i="32"/>
  <c r="A25" i="32"/>
  <c r="F25" i="32"/>
  <c r="E25" i="32"/>
  <c r="D25" i="32"/>
  <c r="B25" i="32"/>
  <c r="A24" i="32"/>
  <c r="F24" i="32"/>
  <c r="E24" i="32"/>
  <c r="D24" i="32"/>
  <c r="B24" i="32"/>
  <c r="A23" i="32"/>
  <c r="F23" i="32"/>
  <c r="E23" i="32"/>
  <c r="D23" i="32"/>
  <c r="B23" i="32"/>
  <c r="A22" i="32"/>
  <c r="F22" i="32"/>
  <c r="E22" i="32"/>
  <c r="D22" i="32"/>
  <c r="B22" i="32"/>
  <c r="A21" i="32"/>
  <c r="F21" i="32"/>
  <c r="E21" i="32"/>
  <c r="D21" i="32"/>
  <c r="B21" i="32"/>
  <c r="A20" i="32"/>
  <c r="F20" i="32"/>
  <c r="E20" i="32"/>
  <c r="D20" i="32"/>
  <c r="B20" i="32"/>
  <c r="A19" i="32"/>
  <c r="F19" i="32"/>
  <c r="E19" i="32"/>
  <c r="D19" i="32"/>
  <c r="B19" i="32"/>
  <c r="A18" i="32"/>
  <c r="F18" i="32"/>
  <c r="E18" i="32"/>
  <c r="D18" i="32"/>
  <c r="B18" i="32"/>
  <c r="A17" i="32"/>
  <c r="F17" i="32"/>
  <c r="E17" i="32"/>
  <c r="D17" i="32"/>
  <c r="B17" i="32"/>
  <c r="A16" i="32"/>
  <c r="F16" i="32"/>
  <c r="E16" i="32"/>
  <c r="D16" i="32"/>
  <c r="B16" i="32"/>
  <c r="L15" i="32"/>
  <c r="M15" i="32"/>
  <c r="K15" i="32"/>
  <c r="J15" i="32"/>
  <c r="A15" i="32"/>
  <c r="F15" i="32"/>
  <c r="E15" i="32"/>
  <c r="D15" i="32"/>
  <c r="B15" i="32"/>
  <c r="K25" i="36"/>
  <c r="K26" i="36"/>
  <c r="K27" i="36"/>
  <c r="K28" i="36"/>
  <c r="I25" i="36"/>
  <c r="L14" i="32"/>
  <c r="M14" i="32"/>
  <c r="K14" i="32"/>
  <c r="J14" i="32"/>
  <c r="A14" i="32"/>
  <c r="F14" i="32"/>
  <c r="E14" i="32"/>
  <c r="D14" i="32"/>
  <c r="B14" i="32"/>
  <c r="I18" i="22"/>
  <c r="R5" i="36"/>
  <c r="L11" i="36"/>
  <c r="L12" i="36"/>
  <c r="L13" i="36"/>
  <c r="L14" i="36"/>
  <c r="L15" i="36"/>
  <c r="L16" i="36"/>
  <c r="L17" i="36"/>
  <c r="M11" i="36"/>
  <c r="L13" i="32"/>
  <c r="M13" i="32"/>
  <c r="K13" i="32"/>
  <c r="J13" i="32"/>
  <c r="A13" i="32"/>
  <c r="F13" i="32"/>
  <c r="E13" i="32"/>
  <c r="D13" i="32"/>
  <c r="B13" i="32"/>
  <c r="L12" i="32"/>
  <c r="M12" i="32"/>
  <c r="K12" i="32"/>
  <c r="J12" i="32"/>
  <c r="A12" i="32"/>
  <c r="E12" i="32"/>
  <c r="B12" i="32"/>
  <c r="F12" i="32"/>
  <c r="D12" i="32"/>
  <c r="A11" i="32"/>
  <c r="B11" i="32"/>
  <c r="F11" i="32"/>
  <c r="E11" i="32"/>
  <c r="D11" i="32"/>
  <c r="A10" i="32"/>
  <c r="G57" i="36"/>
  <c r="G58" i="36"/>
  <c r="G59" i="36"/>
  <c r="G60" i="36"/>
  <c r="G61" i="36"/>
  <c r="G62" i="36"/>
  <c r="G63" i="36"/>
  <c r="H57" i="36"/>
  <c r="B10" i="32"/>
  <c r="F10" i="32"/>
  <c r="E10" i="32"/>
  <c r="D10" i="32"/>
  <c r="A9" i="32"/>
  <c r="P71" i="36"/>
  <c r="P72" i="36"/>
  <c r="P73" i="36"/>
  <c r="P74" i="36"/>
  <c r="P75" i="36"/>
  <c r="P76" i="36"/>
  <c r="P77" i="36"/>
  <c r="N71" i="36"/>
  <c r="G77" i="36"/>
  <c r="H71" i="36"/>
  <c r="B9" i="32"/>
  <c r="F9" i="32"/>
  <c r="E9" i="32"/>
  <c r="D9" i="32"/>
  <c r="G71" i="36"/>
  <c r="G72" i="36"/>
  <c r="G73" i="36"/>
  <c r="G74" i="36"/>
  <c r="G75" i="36"/>
  <c r="G76" i="36"/>
  <c r="B8" i="32"/>
  <c r="F8" i="32"/>
  <c r="E8" i="32"/>
  <c r="D8" i="32"/>
  <c r="A4" i="32"/>
  <c r="A1" i="32"/>
  <c r="H24" i="22"/>
  <c r="R10" i="36"/>
  <c r="A9" i="21"/>
  <c r="I7" i="37"/>
  <c r="O7" i="37"/>
  <c r="U7" i="37"/>
  <c r="AA7" i="37"/>
  <c r="AG7" i="37"/>
  <c r="AL7" i="37"/>
  <c r="I8" i="37"/>
  <c r="O8" i="37"/>
  <c r="U8" i="37"/>
  <c r="AA8" i="37"/>
  <c r="AG8" i="37"/>
  <c r="AL8" i="37"/>
  <c r="I9" i="37"/>
  <c r="O9" i="37"/>
  <c r="U9" i="37"/>
  <c r="AA9" i="37"/>
  <c r="AG9" i="37"/>
  <c r="AL9" i="37"/>
  <c r="I10" i="37"/>
  <c r="O10" i="37"/>
  <c r="U10" i="37"/>
  <c r="AA10" i="37"/>
  <c r="AG10" i="37"/>
  <c r="AL10" i="37"/>
  <c r="I11" i="37"/>
  <c r="O11" i="37"/>
  <c r="U11" i="37"/>
  <c r="AA11" i="37"/>
  <c r="AG11" i="37"/>
  <c r="AL11" i="37"/>
  <c r="I12" i="37"/>
  <c r="O12" i="37"/>
  <c r="U12" i="37"/>
  <c r="AA12" i="37"/>
  <c r="AG12" i="37"/>
  <c r="AL12" i="37"/>
  <c r="I13" i="37"/>
  <c r="O13" i="37"/>
  <c r="U13" i="37"/>
  <c r="AA13" i="37"/>
  <c r="AG13" i="37"/>
  <c r="AL13" i="37"/>
  <c r="I14" i="37"/>
  <c r="O14" i="37"/>
  <c r="U14" i="37"/>
  <c r="AA14" i="37"/>
  <c r="AG14" i="37"/>
  <c r="AL14" i="37"/>
  <c r="I15" i="37"/>
  <c r="O15" i="37"/>
  <c r="U15" i="37"/>
  <c r="AA15" i="37"/>
  <c r="AG15" i="37"/>
  <c r="AL15" i="37"/>
  <c r="I16" i="37"/>
  <c r="O16" i="37"/>
  <c r="U16" i="37"/>
  <c r="AA16" i="37"/>
  <c r="AG16" i="37"/>
  <c r="AL16" i="37"/>
  <c r="I17" i="37"/>
  <c r="O17" i="37"/>
  <c r="U17" i="37"/>
  <c r="AA17" i="37"/>
  <c r="AG17" i="37"/>
  <c r="AL17" i="37"/>
  <c r="I18" i="37"/>
  <c r="O18" i="37"/>
  <c r="U18" i="37"/>
  <c r="AA18" i="37"/>
  <c r="AG18" i="37"/>
  <c r="AL18" i="37"/>
  <c r="I19" i="37"/>
  <c r="O19" i="37"/>
  <c r="U19" i="37"/>
  <c r="AA19" i="37"/>
  <c r="AG19" i="37"/>
  <c r="AL19" i="37"/>
  <c r="I20" i="37"/>
  <c r="O20" i="37"/>
  <c r="U20" i="37"/>
  <c r="AA20" i="37"/>
  <c r="AG20" i="37"/>
  <c r="AL20" i="37"/>
  <c r="I21" i="37"/>
  <c r="O21" i="37"/>
  <c r="U21" i="37"/>
  <c r="AA21" i="37"/>
  <c r="AG21" i="37"/>
  <c r="AL21" i="37"/>
  <c r="I22" i="37"/>
  <c r="O22" i="37"/>
  <c r="U22" i="37"/>
  <c r="AA22" i="37"/>
  <c r="AG22" i="37"/>
  <c r="AL22" i="37"/>
  <c r="I23" i="37"/>
  <c r="O23" i="37"/>
  <c r="U23" i="37"/>
  <c r="AA23" i="37"/>
  <c r="AG23" i="37"/>
  <c r="AL23" i="37"/>
  <c r="I24" i="37"/>
  <c r="O24" i="37"/>
  <c r="U24" i="37"/>
  <c r="AA24" i="37"/>
  <c r="AG24" i="37"/>
  <c r="AL24" i="37"/>
  <c r="I25" i="37"/>
  <c r="O25" i="37"/>
  <c r="U25" i="37"/>
  <c r="AA25" i="37"/>
  <c r="AG25" i="37"/>
  <c r="AL25" i="37"/>
  <c r="I26" i="37"/>
  <c r="O26" i="37"/>
  <c r="U26" i="37"/>
  <c r="AA26" i="37"/>
  <c r="AG26" i="37"/>
  <c r="AL26" i="37"/>
  <c r="B7" i="37"/>
  <c r="B8" i="37"/>
  <c r="B9" i="37"/>
  <c r="B10" i="37"/>
  <c r="AI7" i="37"/>
  <c r="AJ7" i="37"/>
  <c r="AI8" i="37"/>
  <c r="AJ8" i="37"/>
  <c r="AI9" i="37"/>
  <c r="AJ9" i="37"/>
  <c r="AI10" i="37"/>
  <c r="AJ10" i="37"/>
  <c r="B11" i="37"/>
  <c r="AI11" i="37"/>
  <c r="AJ11" i="37"/>
  <c r="B12" i="37"/>
  <c r="AI12" i="37"/>
  <c r="AJ12" i="37"/>
  <c r="B13" i="37"/>
  <c r="AI13" i="37"/>
  <c r="AJ13" i="37"/>
  <c r="B14" i="37"/>
  <c r="AI14" i="37"/>
  <c r="AJ14" i="37"/>
  <c r="B15" i="37"/>
  <c r="AI15" i="37"/>
  <c r="AJ15" i="37"/>
  <c r="B16" i="37"/>
  <c r="AI16" i="37"/>
  <c r="AJ16" i="37"/>
  <c r="B17" i="37"/>
  <c r="AI17" i="37"/>
  <c r="AJ17" i="37"/>
  <c r="B18" i="37"/>
  <c r="AI18" i="37"/>
  <c r="AJ18" i="37"/>
  <c r="B19" i="37"/>
  <c r="AI19" i="37"/>
  <c r="AJ19" i="37"/>
  <c r="B20" i="37"/>
  <c r="AI20" i="37"/>
  <c r="AJ20" i="37"/>
  <c r="B21" i="37"/>
  <c r="AI21" i="37"/>
  <c r="AJ21" i="37"/>
  <c r="B22" i="37"/>
  <c r="AI22" i="37"/>
  <c r="AJ22" i="37"/>
  <c r="B23" i="37"/>
  <c r="AI23" i="37"/>
  <c r="AJ23" i="37"/>
  <c r="B24" i="37"/>
  <c r="AI24" i="37"/>
  <c r="AJ24" i="37"/>
  <c r="B25" i="37"/>
  <c r="AI25" i="37"/>
  <c r="AJ25" i="37"/>
  <c r="B26" i="37"/>
  <c r="AI26" i="37"/>
  <c r="AJ26" i="37"/>
  <c r="H9" i="21"/>
  <c r="F19" i="38"/>
  <c r="I9" i="21"/>
  <c r="G19" i="38"/>
  <c r="G9" i="21"/>
  <c r="E19" i="38"/>
  <c r="F9" i="21"/>
  <c r="D19" i="38"/>
  <c r="A19" i="38"/>
  <c r="N9" i="21"/>
  <c r="F20" i="38"/>
  <c r="O9" i="21"/>
  <c r="G20" i="38"/>
  <c r="M9" i="21"/>
  <c r="E20" i="38"/>
  <c r="L9" i="21"/>
  <c r="D20" i="38"/>
  <c r="A20" i="38"/>
  <c r="T9" i="21"/>
  <c r="F21" i="38"/>
  <c r="U9" i="21"/>
  <c r="G21" i="38"/>
  <c r="S9" i="21"/>
  <c r="E21" i="38"/>
  <c r="R9" i="21"/>
  <c r="D21" i="38"/>
  <c r="A21" i="38"/>
  <c r="Z9" i="21"/>
  <c r="F22" i="38"/>
  <c r="AA9" i="21"/>
  <c r="G22" i="38"/>
  <c r="Y9" i="21"/>
  <c r="E22" i="38"/>
  <c r="X9" i="21"/>
  <c r="D22" i="38"/>
  <c r="A22" i="38"/>
  <c r="AF9" i="21"/>
  <c r="F23" i="38"/>
  <c r="AG9" i="21"/>
  <c r="G23" i="38"/>
  <c r="AE9" i="21"/>
  <c r="E23" i="38"/>
  <c r="AD9" i="21"/>
  <c r="D23" i="38"/>
  <c r="A23" i="38"/>
  <c r="F24" i="22"/>
  <c r="D9" i="21"/>
  <c r="B19" i="38"/>
  <c r="J9" i="21"/>
  <c r="B20" i="38"/>
  <c r="P9" i="21"/>
  <c r="B21" i="38"/>
  <c r="V9" i="21"/>
  <c r="B22" i="38"/>
  <c r="AB9" i="21"/>
  <c r="B23" i="38"/>
  <c r="B24" i="22"/>
  <c r="M10" i="36"/>
  <c r="M40" i="36"/>
  <c r="L41" i="36"/>
  <c r="L42" i="36"/>
  <c r="L43" i="36"/>
  <c r="L44" i="36"/>
  <c r="M41" i="36"/>
  <c r="U41" i="36"/>
  <c r="U42" i="36"/>
  <c r="U43" i="36"/>
  <c r="U44" i="36"/>
  <c r="S41" i="36"/>
  <c r="R40" i="36"/>
  <c r="M70" i="36"/>
  <c r="A11" i="21"/>
  <c r="H11" i="21"/>
  <c r="N27" i="38"/>
  <c r="I11" i="21"/>
  <c r="O27" i="38"/>
  <c r="G11" i="21"/>
  <c r="M27" i="38"/>
  <c r="F11" i="21"/>
  <c r="L27" i="38"/>
  <c r="I27" i="38"/>
  <c r="N11" i="21"/>
  <c r="N28" i="38"/>
  <c r="O11" i="21"/>
  <c r="O28" i="38"/>
  <c r="M11" i="21"/>
  <c r="M28" i="38"/>
  <c r="L11" i="21"/>
  <c r="L28" i="38"/>
  <c r="I28" i="38"/>
  <c r="T11" i="21"/>
  <c r="N29" i="38"/>
  <c r="U11" i="21"/>
  <c r="O29" i="38"/>
  <c r="S11" i="21"/>
  <c r="M29" i="38"/>
  <c r="R11" i="21"/>
  <c r="L29" i="38"/>
  <c r="I29" i="38"/>
  <c r="Z11" i="21"/>
  <c r="N30" i="38"/>
  <c r="AA11" i="21"/>
  <c r="O30" i="38"/>
  <c r="Y11" i="21"/>
  <c r="M30" i="38"/>
  <c r="X11" i="21"/>
  <c r="L30" i="38"/>
  <c r="I30" i="38"/>
  <c r="AF11" i="21"/>
  <c r="N31" i="38"/>
  <c r="AG11" i="21"/>
  <c r="O31" i="38"/>
  <c r="AE11" i="21"/>
  <c r="M31" i="38"/>
  <c r="AD11" i="21"/>
  <c r="L31" i="38"/>
  <c r="I31" i="38"/>
  <c r="L32" i="22"/>
  <c r="D11" i="21"/>
  <c r="J27" i="38"/>
  <c r="J11" i="21"/>
  <c r="J28" i="38"/>
  <c r="P11" i="21"/>
  <c r="J29" i="38"/>
  <c r="V11" i="21"/>
  <c r="J30" i="38"/>
  <c r="AB11" i="21"/>
  <c r="J31" i="38"/>
  <c r="H32" i="22"/>
  <c r="C24" i="36"/>
  <c r="B25" i="36"/>
  <c r="B26" i="36"/>
  <c r="B27" i="36"/>
  <c r="B28" i="36"/>
  <c r="C25" i="36"/>
  <c r="H40" i="36"/>
  <c r="H8" i="22"/>
  <c r="H10" i="36"/>
  <c r="H7" i="21"/>
  <c r="F3" i="38"/>
  <c r="I7" i="21"/>
  <c r="G3" i="38"/>
  <c r="G7" i="21"/>
  <c r="E3" i="38"/>
  <c r="F7" i="21"/>
  <c r="D3" i="38"/>
  <c r="A3" i="38"/>
  <c r="N7" i="21"/>
  <c r="F4" i="38"/>
  <c r="O7" i="21"/>
  <c r="G4" i="38"/>
  <c r="M7" i="21"/>
  <c r="E4" i="38"/>
  <c r="L7" i="21"/>
  <c r="D4" i="38"/>
  <c r="A4" i="38"/>
  <c r="T7" i="21"/>
  <c r="F5" i="38"/>
  <c r="U7" i="21"/>
  <c r="G5" i="38"/>
  <c r="S7" i="21"/>
  <c r="E5" i="38"/>
  <c r="R7" i="21"/>
  <c r="D5" i="38"/>
  <c r="A5" i="38"/>
  <c r="Z7" i="21"/>
  <c r="F6" i="38"/>
  <c r="AA7" i="21"/>
  <c r="G6" i="38"/>
  <c r="Y7" i="21"/>
  <c r="E6" i="38"/>
  <c r="X7" i="21"/>
  <c r="D6" i="38"/>
  <c r="A6" i="38"/>
  <c r="AF7" i="21"/>
  <c r="F7" i="38"/>
  <c r="AG7" i="21"/>
  <c r="G7" i="38"/>
  <c r="AE7" i="21"/>
  <c r="E7" i="38"/>
  <c r="AD7" i="21"/>
  <c r="D7" i="38"/>
  <c r="A7" i="38"/>
  <c r="F8" i="22"/>
  <c r="D7" i="21"/>
  <c r="B3" i="38"/>
  <c r="J7" i="21"/>
  <c r="B4" i="38"/>
  <c r="P7" i="21"/>
  <c r="B5" i="38"/>
  <c r="V7" i="21"/>
  <c r="B6" i="38"/>
  <c r="AB7" i="21"/>
  <c r="B7" i="38"/>
  <c r="B8" i="22"/>
  <c r="C10" i="36"/>
  <c r="C40" i="36"/>
  <c r="B41" i="36"/>
  <c r="B42" i="36"/>
  <c r="B43" i="36"/>
  <c r="B44" i="36"/>
  <c r="B45" i="36"/>
  <c r="B46" i="36"/>
  <c r="B47" i="36"/>
  <c r="C41" i="36"/>
  <c r="K41" i="36"/>
  <c r="K42" i="36"/>
  <c r="K43" i="36"/>
  <c r="K44" i="36"/>
  <c r="K45" i="36"/>
  <c r="K46" i="36"/>
  <c r="K47" i="36"/>
  <c r="I41" i="36"/>
  <c r="H70" i="36"/>
  <c r="H23" i="22"/>
  <c r="R9" i="36"/>
  <c r="F23" i="22"/>
  <c r="B23" i="22"/>
  <c r="M9" i="36"/>
  <c r="M39" i="36"/>
  <c r="R39" i="36"/>
  <c r="M69" i="36"/>
  <c r="L31" i="22"/>
  <c r="H31" i="22"/>
  <c r="C23" i="36"/>
  <c r="H39" i="36"/>
  <c r="H7" i="22"/>
  <c r="H9" i="36"/>
  <c r="F7" i="22"/>
  <c r="B7" i="22"/>
  <c r="C9" i="36"/>
  <c r="C39" i="36"/>
  <c r="H69" i="36"/>
  <c r="H22" i="22"/>
  <c r="R8" i="36"/>
  <c r="F22" i="22"/>
  <c r="B22" i="22"/>
  <c r="M8" i="36"/>
  <c r="M38" i="36"/>
  <c r="R38" i="36"/>
  <c r="M68" i="36"/>
  <c r="L30" i="22"/>
  <c r="H30" i="22"/>
  <c r="C22" i="36"/>
  <c r="H38" i="36"/>
  <c r="H6" i="22"/>
  <c r="H8" i="36"/>
  <c r="F6" i="22"/>
  <c r="B6" i="22"/>
  <c r="C8" i="36"/>
  <c r="C38" i="36"/>
  <c r="H68" i="36"/>
  <c r="H21" i="22"/>
  <c r="R7" i="36"/>
  <c r="F21" i="22"/>
  <c r="B21" i="22"/>
  <c r="M7" i="36"/>
  <c r="M37" i="36"/>
  <c r="R37" i="36"/>
  <c r="M67" i="36"/>
  <c r="L29" i="22"/>
  <c r="H29" i="22"/>
  <c r="C21" i="36"/>
  <c r="H37" i="36"/>
  <c r="H5" i="22"/>
  <c r="H7" i="36"/>
  <c r="F5" i="22"/>
  <c r="B5" i="22"/>
  <c r="C7" i="36"/>
  <c r="C37" i="36"/>
  <c r="H67" i="36"/>
  <c r="H20" i="22"/>
  <c r="R6" i="36"/>
  <c r="F20" i="22"/>
  <c r="B20" i="22"/>
  <c r="M6" i="36"/>
  <c r="M36" i="36"/>
  <c r="R36" i="36"/>
  <c r="M66" i="36"/>
  <c r="L28" i="22"/>
  <c r="H28" i="22"/>
  <c r="C20" i="36"/>
  <c r="H36" i="36"/>
  <c r="H4" i="22"/>
  <c r="H6" i="36"/>
  <c r="F4" i="22"/>
  <c r="B4" i="22"/>
  <c r="C6" i="36"/>
  <c r="C36" i="36"/>
  <c r="H66" i="36"/>
  <c r="B9" i="21"/>
  <c r="C17" i="38"/>
  <c r="C18" i="22"/>
  <c r="M5" i="36"/>
  <c r="M35" i="36"/>
  <c r="R35" i="36"/>
  <c r="M65" i="36"/>
  <c r="B11" i="21"/>
  <c r="K25" i="38"/>
  <c r="I26" i="22"/>
  <c r="C19" i="36"/>
  <c r="H35" i="36"/>
  <c r="I2" i="22"/>
  <c r="H5" i="36"/>
  <c r="B7" i="21"/>
  <c r="C1" i="38"/>
  <c r="C2" i="22"/>
  <c r="C5" i="36"/>
  <c r="C35" i="36"/>
  <c r="H65" i="36"/>
  <c r="P63" i="36"/>
  <c r="P62" i="36"/>
  <c r="P61" i="36"/>
  <c r="P60" i="36"/>
  <c r="P59" i="36"/>
  <c r="P58" i="36"/>
  <c r="P57" i="36"/>
  <c r="M51" i="36"/>
  <c r="N57" i="36"/>
  <c r="M56" i="36"/>
  <c r="H56" i="36"/>
  <c r="M55" i="36"/>
  <c r="H55" i="36"/>
  <c r="M54" i="36"/>
  <c r="H54" i="36"/>
  <c r="M53" i="36"/>
  <c r="H53" i="36"/>
  <c r="M52" i="36"/>
  <c r="H52" i="36"/>
  <c r="H51" i="36"/>
  <c r="U47" i="36"/>
  <c r="L47" i="36"/>
  <c r="U46" i="36"/>
  <c r="L46" i="36"/>
  <c r="U45" i="36"/>
  <c r="L45" i="36"/>
  <c r="H16" i="22"/>
  <c r="M24" i="36"/>
  <c r="A8" i="21"/>
  <c r="H8" i="21"/>
  <c r="F11" i="38"/>
  <c r="I8" i="21"/>
  <c r="G11" i="38"/>
  <c r="G8" i="21"/>
  <c r="E11" i="38"/>
  <c r="F8" i="21"/>
  <c r="D11" i="38"/>
  <c r="A11" i="38"/>
  <c r="N8" i="21"/>
  <c r="F12" i="38"/>
  <c r="O8" i="21"/>
  <c r="G12" i="38"/>
  <c r="M8" i="21"/>
  <c r="E12" i="38"/>
  <c r="L8" i="21"/>
  <c r="D12" i="38"/>
  <c r="A12" i="38"/>
  <c r="T8" i="21"/>
  <c r="F13" i="38"/>
  <c r="U8" i="21"/>
  <c r="G13" i="38"/>
  <c r="S8" i="21"/>
  <c r="E13" i="38"/>
  <c r="R8" i="21"/>
  <c r="D13" i="38"/>
  <c r="A13" i="38"/>
  <c r="Z8" i="21"/>
  <c r="F14" i="38"/>
  <c r="AA8" i="21"/>
  <c r="G14" i="38"/>
  <c r="Y8" i="21"/>
  <c r="E14" i="38"/>
  <c r="X8" i="21"/>
  <c r="D14" i="38"/>
  <c r="A14" i="38"/>
  <c r="AF8" i="21"/>
  <c r="F15" i="38"/>
  <c r="AG8" i="21"/>
  <c r="G15" i="38"/>
  <c r="AE8" i="21"/>
  <c r="E15" i="38"/>
  <c r="AD8" i="21"/>
  <c r="D15" i="38"/>
  <c r="A15" i="38"/>
  <c r="F16" i="22"/>
  <c r="D8" i="21"/>
  <c r="B11" i="38"/>
  <c r="J8" i="21"/>
  <c r="B12" i="38"/>
  <c r="P8" i="21"/>
  <c r="B13" i="38"/>
  <c r="V8" i="21"/>
  <c r="B14" i="38"/>
  <c r="AB8" i="21"/>
  <c r="B15" i="38"/>
  <c r="B16" i="22"/>
  <c r="R24" i="36"/>
  <c r="H15" i="22"/>
  <c r="M23" i="36"/>
  <c r="F15" i="22"/>
  <c r="B15" i="22"/>
  <c r="R23" i="36"/>
  <c r="H14" i="22"/>
  <c r="M22" i="36"/>
  <c r="F14" i="22"/>
  <c r="B14" i="22"/>
  <c r="R22" i="36"/>
  <c r="H13" i="22"/>
  <c r="M21" i="36"/>
  <c r="F13" i="22"/>
  <c r="B13" i="22"/>
  <c r="R21" i="36"/>
  <c r="H12" i="22"/>
  <c r="M20" i="36"/>
  <c r="F12" i="22"/>
  <c r="B12" i="22"/>
  <c r="R20" i="36"/>
  <c r="I10" i="22"/>
  <c r="M19" i="36"/>
  <c r="B8" i="21"/>
  <c r="C9" i="38"/>
  <c r="C10" i="22"/>
  <c r="R19" i="36"/>
  <c r="U31" i="36"/>
  <c r="L31" i="36"/>
  <c r="K31" i="36"/>
  <c r="B31" i="36"/>
  <c r="U30" i="36"/>
  <c r="L30" i="36"/>
  <c r="K30" i="36"/>
  <c r="B30" i="36"/>
  <c r="U29" i="36"/>
  <c r="L29" i="36"/>
  <c r="K29" i="36"/>
  <c r="B29" i="36"/>
  <c r="U28" i="36"/>
  <c r="L28" i="36"/>
  <c r="U27" i="36"/>
  <c r="L27" i="36"/>
  <c r="U26" i="36"/>
  <c r="L26" i="36"/>
  <c r="U25" i="36"/>
  <c r="S25" i="36"/>
  <c r="L25" i="36"/>
  <c r="M25" i="36"/>
  <c r="A10" i="21"/>
  <c r="H10" i="21"/>
  <c r="F27" i="38"/>
  <c r="I10" i="21"/>
  <c r="G27" i="38"/>
  <c r="G10" i="21"/>
  <c r="E27" i="38"/>
  <c r="F10" i="21"/>
  <c r="D27" i="38"/>
  <c r="A27" i="38"/>
  <c r="N10" i="21"/>
  <c r="F28" i="38"/>
  <c r="O10" i="21"/>
  <c r="G28" i="38"/>
  <c r="M10" i="21"/>
  <c r="E28" i="38"/>
  <c r="L10" i="21"/>
  <c r="D28" i="38"/>
  <c r="A28" i="38"/>
  <c r="T10" i="21"/>
  <c r="F29" i="38"/>
  <c r="U10" i="21"/>
  <c r="G29" i="38"/>
  <c r="S10" i="21"/>
  <c r="E29" i="38"/>
  <c r="R10" i="21"/>
  <c r="D29" i="38"/>
  <c r="A29" i="38"/>
  <c r="Z10" i="21"/>
  <c r="F30" i="38"/>
  <c r="AA10" i="21"/>
  <c r="G30" i="38"/>
  <c r="Y10" i="21"/>
  <c r="E30" i="38"/>
  <c r="X10" i="21"/>
  <c r="D30" i="38"/>
  <c r="A30" i="38"/>
  <c r="AF10" i="21"/>
  <c r="F31" i="38"/>
  <c r="AG10" i="21"/>
  <c r="G31" i="38"/>
  <c r="AE10" i="21"/>
  <c r="E31" i="38"/>
  <c r="AD10" i="21"/>
  <c r="D31" i="38"/>
  <c r="A31" i="38"/>
  <c r="F32" i="22"/>
  <c r="D10" i="21"/>
  <c r="B27" i="38"/>
  <c r="J10" i="21"/>
  <c r="B28" i="38"/>
  <c r="P10" i="21"/>
  <c r="B29" i="38"/>
  <c r="V10" i="21"/>
  <c r="B30" i="38"/>
  <c r="AB10" i="21"/>
  <c r="B31" i="38"/>
  <c r="B32" i="22"/>
  <c r="H24" i="36"/>
  <c r="F31" i="22"/>
  <c r="B31" i="22"/>
  <c r="H23" i="36"/>
  <c r="F30" i="22"/>
  <c r="B30" i="22"/>
  <c r="H22" i="36"/>
  <c r="F29" i="22"/>
  <c r="B29" i="22"/>
  <c r="H21" i="36"/>
  <c r="F28" i="22"/>
  <c r="B28" i="22"/>
  <c r="H20" i="36"/>
  <c r="B10" i="21"/>
  <c r="C25" i="38"/>
  <c r="C26" i="22"/>
  <c r="H19" i="36"/>
  <c r="U17" i="36"/>
  <c r="K17" i="36"/>
  <c r="B17" i="36"/>
  <c r="U16" i="36"/>
  <c r="K16" i="36"/>
  <c r="B16" i="36"/>
  <c r="U15" i="36"/>
  <c r="K15" i="36"/>
  <c r="B15" i="36"/>
  <c r="U14" i="36"/>
  <c r="K14" i="36"/>
  <c r="B14" i="36"/>
  <c r="U13" i="36"/>
  <c r="K13" i="36"/>
  <c r="B13" i="36"/>
  <c r="U12" i="36"/>
  <c r="K12" i="36"/>
  <c r="B12" i="36"/>
  <c r="U11" i="36"/>
  <c r="S11" i="36"/>
  <c r="K11" i="36"/>
  <c r="I11" i="36"/>
  <c r="C11" i="36"/>
  <c r="B11" i="36"/>
  <c r="B2" i="36"/>
  <c r="K32" i="22"/>
  <c r="J32" i="22"/>
  <c r="E11" i="21"/>
  <c r="K27" i="38"/>
  <c r="K11" i="21"/>
  <c r="K28" i="38"/>
  <c r="Q11" i="21"/>
  <c r="K29" i="38"/>
  <c r="W11" i="21"/>
  <c r="K30" i="38"/>
  <c r="AC11" i="21"/>
  <c r="K31" i="38"/>
  <c r="I32" i="22"/>
  <c r="E32" i="22"/>
  <c r="D32" i="22"/>
  <c r="E10" i="21"/>
  <c r="C27" i="38"/>
  <c r="K10" i="21"/>
  <c r="C28" i="38"/>
  <c r="Q10" i="21"/>
  <c r="C29" i="38"/>
  <c r="W10" i="21"/>
  <c r="C30" i="38"/>
  <c r="AC10" i="21"/>
  <c r="C31" i="38"/>
  <c r="C32" i="22"/>
  <c r="K31" i="22"/>
  <c r="J31" i="22"/>
  <c r="I31" i="22"/>
  <c r="E31" i="22"/>
  <c r="D31" i="22"/>
  <c r="C31" i="22"/>
  <c r="K30" i="22"/>
  <c r="J30" i="22"/>
  <c r="I30" i="22"/>
  <c r="E30" i="22"/>
  <c r="D30" i="22"/>
  <c r="C30" i="22"/>
  <c r="K29" i="22"/>
  <c r="J29" i="22"/>
  <c r="I29" i="22"/>
  <c r="E29" i="22"/>
  <c r="D29" i="22"/>
  <c r="C29" i="22"/>
  <c r="K28" i="22"/>
  <c r="J28" i="22"/>
  <c r="I28" i="22"/>
  <c r="E28" i="22"/>
  <c r="D28" i="22"/>
  <c r="C28" i="22"/>
  <c r="AH11" i="21"/>
  <c r="N25" i="38"/>
  <c r="L26" i="22"/>
  <c r="H26" i="22"/>
  <c r="AH10" i="21"/>
  <c r="F25" i="38"/>
  <c r="F26" i="22"/>
  <c r="B26" i="22"/>
  <c r="L24" i="22"/>
  <c r="K24" i="22"/>
  <c r="J24" i="22"/>
  <c r="I24" i="22"/>
  <c r="E24" i="22"/>
  <c r="D24" i="22"/>
  <c r="E9" i="21"/>
  <c r="C19" i="38"/>
  <c r="K9" i="21"/>
  <c r="C20" i="38"/>
  <c r="Q9" i="21"/>
  <c r="C21" i="38"/>
  <c r="W9" i="21"/>
  <c r="C22" i="38"/>
  <c r="AC9" i="21"/>
  <c r="C23" i="38"/>
  <c r="C24" i="22"/>
  <c r="L23" i="22"/>
  <c r="K23" i="22"/>
  <c r="J23" i="22"/>
  <c r="I23" i="22"/>
  <c r="E23" i="22"/>
  <c r="D23" i="22"/>
  <c r="C23" i="22"/>
  <c r="L22" i="22"/>
  <c r="K22" i="22"/>
  <c r="J22" i="22"/>
  <c r="I22" i="22"/>
  <c r="E22" i="22"/>
  <c r="D22" i="22"/>
  <c r="C22" i="22"/>
  <c r="L21" i="22"/>
  <c r="K21" i="22"/>
  <c r="J21" i="22"/>
  <c r="I21" i="22"/>
  <c r="E21" i="22"/>
  <c r="D21" i="22"/>
  <c r="C21" i="22"/>
  <c r="L20" i="22"/>
  <c r="K20" i="22"/>
  <c r="J20" i="22"/>
  <c r="I20" i="22"/>
  <c r="E20" i="22"/>
  <c r="D20" i="22"/>
  <c r="C20" i="22"/>
  <c r="L18" i="22"/>
  <c r="H18" i="22"/>
  <c r="AH9" i="21"/>
  <c r="F17" i="38"/>
  <c r="F18" i="22"/>
  <c r="B18" i="22"/>
  <c r="L16" i="22"/>
  <c r="K16" i="22"/>
  <c r="J16" i="22"/>
  <c r="I16" i="22"/>
  <c r="E16" i="22"/>
  <c r="D16" i="22"/>
  <c r="E8" i="21"/>
  <c r="C11" i="38"/>
  <c r="K8" i="21"/>
  <c r="C12" i="38"/>
  <c r="Q8" i="21"/>
  <c r="C13" i="38"/>
  <c r="W8" i="21"/>
  <c r="C14" i="38"/>
  <c r="AC8" i="21"/>
  <c r="C15" i="38"/>
  <c r="C16" i="22"/>
  <c r="L15" i="22"/>
  <c r="K15" i="22"/>
  <c r="J15" i="22"/>
  <c r="I15" i="22"/>
  <c r="E15" i="22"/>
  <c r="D15" i="22"/>
  <c r="C15" i="22"/>
  <c r="L14" i="22"/>
  <c r="K14" i="22"/>
  <c r="J14" i="22"/>
  <c r="I14" i="22"/>
  <c r="E14" i="22"/>
  <c r="D14" i="22"/>
  <c r="C14" i="22"/>
  <c r="L13" i="22"/>
  <c r="K13" i="22"/>
  <c r="J13" i="22"/>
  <c r="I13" i="22"/>
  <c r="E13" i="22"/>
  <c r="D13" i="22"/>
  <c r="C13" i="22"/>
  <c r="L12" i="22"/>
  <c r="K12" i="22"/>
  <c r="J12" i="22"/>
  <c r="I12" i="22"/>
  <c r="E12" i="22"/>
  <c r="D12" i="22"/>
  <c r="C12" i="22"/>
  <c r="L10" i="22"/>
  <c r="H10" i="22"/>
  <c r="AH8" i="21"/>
  <c r="F9" i="38"/>
  <c r="F10" i="22"/>
  <c r="L8" i="22"/>
  <c r="K8" i="22"/>
  <c r="J8" i="22"/>
  <c r="I8" i="22"/>
  <c r="E8" i="22"/>
  <c r="D8" i="22"/>
  <c r="E7" i="21"/>
  <c r="C3" i="38"/>
  <c r="K7" i="21"/>
  <c r="C4" i="38"/>
  <c r="Q7" i="21"/>
  <c r="C5" i="38"/>
  <c r="W7" i="21"/>
  <c r="C6" i="38"/>
  <c r="AC7" i="21"/>
  <c r="C7" i="38"/>
  <c r="C8" i="22"/>
  <c r="L7" i="22"/>
  <c r="K7" i="22"/>
  <c r="J7" i="22"/>
  <c r="I7" i="22"/>
  <c r="E7" i="22"/>
  <c r="D7" i="22"/>
  <c r="C7" i="22"/>
  <c r="L6" i="22"/>
  <c r="K6" i="22"/>
  <c r="J6" i="22"/>
  <c r="I6" i="22"/>
  <c r="E6" i="22"/>
  <c r="D6" i="22"/>
  <c r="C6" i="22"/>
  <c r="L5" i="22"/>
  <c r="K5" i="22"/>
  <c r="J5" i="22"/>
  <c r="I5" i="22"/>
  <c r="E5" i="22"/>
  <c r="D5" i="22"/>
  <c r="C5" i="22"/>
  <c r="L4" i="22"/>
  <c r="K4" i="22"/>
  <c r="J4" i="22"/>
  <c r="I4" i="22"/>
  <c r="E4" i="22"/>
  <c r="D4" i="22"/>
  <c r="C4" i="22"/>
  <c r="L2" i="22"/>
  <c r="H2" i="22"/>
  <c r="AH7" i="21"/>
  <c r="F1" i="38"/>
  <c r="F2" i="22"/>
  <c r="J25" i="38"/>
  <c r="B25" i="38"/>
  <c r="A12" i="21"/>
  <c r="AG12" i="21"/>
  <c r="O23" i="38"/>
  <c r="AF12" i="21"/>
  <c r="N23" i="38"/>
  <c r="AE12" i="21"/>
  <c r="M23" i="38"/>
  <c r="AD12" i="21"/>
  <c r="L23" i="38"/>
  <c r="AC12" i="21"/>
  <c r="K23" i="38"/>
  <c r="AB12" i="21"/>
  <c r="J23" i="38"/>
  <c r="I23" i="38"/>
  <c r="AA12" i="21"/>
  <c r="O22" i="38"/>
  <c r="Z12" i="21"/>
  <c r="N22" i="38"/>
  <c r="Y12" i="21"/>
  <c r="M22" i="38"/>
  <c r="X12" i="21"/>
  <c r="L22" i="38"/>
  <c r="W12" i="21"/>
  <c r="K22" i="38"/>
  <c r="V12" i="21"/>
  <c r="J22" i="38"/>
  <c r="I22" i="38"/>
  <c r="U12" i="21"/>
  <c r="O21" i="38"/>
  <c r="T12" i="21"/>
  <c r="N21" i="38"/>
  <c r="S12" i="21"/>
  <c r="M21" i="38"/>
  <c r="R12" i="21"/>
  <c r="L21" i="38"/>
  <c r="Q12" i="21"/>
  <c r="K21" i="38"/>
  <c r="P12" i="21"/>
  <c r="J21" i="38"/>
  <c r="I21" i="38"/>
  <c r="O12" i="21"/>
  <c r="O20" i="38"/>
  <c r="N12" i="21"/>
  <c r="N20" i="38"/>
  <c r="M12" i="21"/>
  <c r="M20" i="38"/>
  <c r="L12" i="21"/>
  <c r="L20" i="38"/>
  <c r="K12" i="21"/>
  <c r="K20" i="38"/>
  <c r="J12" i="21"/>
  <c r="J20" i="38"/>
  <c r="I20" i="38"/>
  <c r="I12" i="21"/>
  <c r="O19" i="38"/>
  <c r="H12" i="21"/>
  <c r="N19" i="38"/>
  <c r="G12" i="21"/>
  <c r="M19" i="38"/>
  <c r="F12" i="21"/>
  <c r="L19" i="38"/>
  <c r="E12" i="21"/>
  <c r="K19" i="38"/>
  <c r="D12" i="21"/>
  <c r="J19" i="38"/>
  <c r="I19" i="38"/>
  <c r="AH12" i="21"/>
  <c r="N17" i="38"/>
  <c r="B12" i="21"/>
  <c r="K17" i="38"/>
  <c r="J17" i="38"/>
  <c r="B17" i="38"/>
  <c r="A13" i="21"/>
  <c r="AG13" i="21"/>
  <c r="O15" i="38"/>
  <c r="AF13" i="21"/>
  <c r="N15" i="38"/>
  <c r="AE13" i="21"/>
  <c r="M15" i="38"/>
  <c r="AD13" i="21"/>
  <c r="L15" i="38"/>
  <c r="AC13" i="21"/>
  <c r="K15" i="38"/>
  <c r="AB13" i="21"/>
  <c r="J15" i="38"/>
  <c r="I15" i="38"/>
  <c r="AA13" i="21"/>
  <c r="O14" i="38"/>
  <c r="Z13" i="21"/>
  <c r="N14" i="38"/>
  <c r="Y13" i="21"/>
  <c r="M14" i="38"/>
  <c r="X13" i="21"/>
  <c r="L14" i="38"/>
  <c r="W13" i="21"/>
  <c r="K14" i="38"/>
  <c r="V13" i="21"/>
  <c r="J14" i="38"/>
  <c r="I14" i="38"/>
  <c r="U13" i="21"/>
  <c r="O13" i="38"/>
  <c r="T13" i="21"/>
  <c r="N13" i="38"/>
  <c r="S13" i="21"/>
  <c r="M13" i="38"/>
  <c r="R13" i="21"/>
  <c r="L13" i="38"/>
  <c r="Q13" i="21"/>
  <c r="K13" i="38"/>
  <c r="P13" i="21"/>
  <c r="J13" i="38"/>
  <c r="I13" i="38"/>
  <c r="O13" i="21"/>
  <c r="O12" i="38"/>
  <c r="N13" i="21"/>
  <c r="N12" i="38"/>
  <c r="M13" i="21"/>
  <c r="M12" i="38"/>
  <c r="L13" i="21"/>
  <c r="L12" i="38"/>
  <c r="K13" i="21"/>
  <c r="K12" i="38"/>
  <c r="J13" i="21"/>
  <c r="J12" i="38"/>
  <c r="I12" i="38"/>
  <c r="I13" i="21"/>
  <c r="O11" i="38"/>
  <c r="H13" i="21"/>
  <c r="N11" i="38"/>
  <c r="G13" i="21"/>
  <c r="M11" i="38"/>
  <c r="F13" i="21"/>
  <c r="L11" i="38"/>
  <c r="E13" i="21"/>
  <c r="K11" i="38"/>
  <c r="D13" i="21"/>
  <c r="J11" i="38"/>
  <c r="I11" i="38"/>
  <c r="AH13" i="21"/>
  <c r="N9" i="38"/>
  <c r="B13" i="21"/>
  <c r="K9" i="38"/>
  <c r="J9" i="38"/>
  <c r="A14" i="21"/>
  <c r="AG14" i="21"/>
  <c r="O7" i="38"/>
  <c r="AF14" i="21"/>
  <c r="N7" i="38"/>
  <c r="AE14" i="21"/>
  <c r="M7" i="38"/>
  <c r="AD14" i="21"/>
  <c r="L7" i="38"/>
  <c r="AC14" i="21"/>
  <c r="K7" i="38"/>
  <c r="AB14" i="21"/>
  <c r="J7" i="38"/>
  <c r="I7" i="38"/>
  <c r="AA14" i="21"/>
  <c r="O6" i="38"/>
  <c r="Z14" i="21"/>
  <c r="N6" i="38"/>
  <c r="Y14" i="21"/>
  <c r="M6" i="38"/>
  <c r="X14" i="21"/>
  <c r="L6" i="38"/>
  <c r="W14" i="21"/>
  <c r="K6" i="38"/>
  <c r="V14" i="21"/>
  <c r="J6" i="38"/>
  <c r="I6" i="38"/>
  <c r="U14" i="21"/>
  <c r="O5" i="38"/>
  <c r="T14" i="21"/>
  <c r="N5" i="38"/>
  <c r="S14" i="21"/>
  <c r="M5" i="38"/>
  <c r="R14" i="21"/>
  <c r="L5" i="38"/>
  <c r="Q14" i="21"/>
  <c r="K5" i="38"/>
  <c r="P14" i="21"/>
  <c r="J5" i="38"/>
  <c r="I5" i="38"/>
  <c r="O14" i="21"/>
  <c r="O4" i="38"/>
  <c r="N14" i="21"/>
  <c r="N4" i="38"/>
  <c r="M14" i="21"/>
  <c r="M4" i="38"/>
  <c r="L14" i="21"/>
  <c r="L4" i="38"/>
  <c r="K14" i="21"/>
  <c r="K4" i="38"/>
  <c r="J14" i="21"/>
  <c r="J4" i="38"/>
  <c r="I4" i="38"/>
  <c r="I14" i="21"/>
  <c r="O3" i="38"/>
  <c r="H14" i="21"/>
  <c r="N3" i="38"/>
  <c r="G14" i="21"/>
  <c r="M3" i="38"/>
  <c r="F14" i="21"/>
  <c r="L3" i="38"/>
  <c r="E14" i="21"/>
  <c r="K3" i="38"/>
  <c r="D14" i="21"/>
  <c r="J3" i="38"/>
  <c r="I3" i="38"/>
  <c r="AH14" i="21"/>
  <c r="N1" i="38"/>
  <c r="B14" i="21"/>
  <c r="K1" i="38"/>
  <c r="J1" i="38"/>
  <c r="A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5" i="21"/>
  <c r="AI45" i="21"/>
  <c r="AH45" i="21"/>
  <c r="AG45" i="21"/>
  <c r="AF45" i="2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4" i="21"/>
  <c r="AI44" i="21"/>
  <c r="AH44" i="21"/>
  <c r="AG44" i="21"/>
  <c r="AF44" i="21"/>
  <c r="AE44" i="21"/>
  <c r="AD44" i="21"/>
  <c r="AC44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3" i="21"/>
  <c r="AI43" i="21"/>
  <c r="AH43" i="21"/>
  <c r="AG43" i="21"/>
  <c r="AF43" i="21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2" i="21"/>
  <c r="AI42" i="21"/>
  <c r="AH42" i="21"/>
  <c r="AG42" i="21"/>
  <c r="AF42" i="21"/>
  <c r="AE42" i="21"/>
  <c r="AD42" i="21"/>
  <c r="AC42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1" i="21"/>
  <c r="AI41" i="21"/>
  <c r="AH41" i="21"/>
  <c r="AG41" i="21"/>
  <c r="AF41" i="21"/>
  <c r="AE41" i="21"/>
  <c r="AD41" i="21"/>
  <c r="AC41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39" i="21"/>
  <c r="AI39" i="21"/>
  <c r="AH39" i="21"/>
  <c r="AG39" i="21"/>
  <c r="AF39" i="21"/>
  <c r="AE39" i="21"/>
  <c r="AD39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8" i="21"/>
  <c r="AI38" i="21"/>
  <c r="AH38" i="21"/>
  <c r="AG38" i="21"/>
  <c r="AF38" i="21"/>
  <c r="AE38" i="21"/>
  <c r="AD38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5" i="21"/>
  <c r="AI35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4" i="21"/>
  <c r="AI34" i="21"/>
  <c r="AH34" i="21"/>
  <c r="AG34" i="21"/>
  <c r="AF34" i="21"/>
  <c r="AE34" i="21"/>
  <c r="AD34" i="2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3" i="21"/>
  <c r="AI33" i="21"/>
  <c r="AH33" i="21"/>
  <c r="AG33" i="21"/>
  <c r="AF33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1" i="21"/>
  <c r="AI31" i="21"/>
  <c r="AH31" i="2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0" i="21"/>
  <c r="AI30" i="21"/>
  <c r="AH30" i="21"/>
  <c r="AG30" i="21"/>
  <c r="AF30" i="2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8" i="21"/>
  <c r="AI28" i="21"/>
  <c r="AH28" i="21"/>
  <c r="AG28" i="21"/>
  <c r="AF28" i="21"/>
  <c r="AE28" i="21"/>
  <c r="AD28" i="21"/>
  <c r="AC28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7" i="21"/>
  <c r="AI27" i="21"/>
  <c r="AH27" i="21"/>
  <c r="AG27" i="21"/>
  <c r="AF27" i="21"/>
  <c r="AE27" i="21"/>
  <c r="AD27" i="21"/>
  <c r="AC27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6" i="21"/>
  <c r="AI26" i="21"/>
  <c r="AH26" i="21"/>
  <c r="AG26" i="21"/>
  <c r="AF26" i="21"/>
  <c r="AE26" i="21"/>
  <c r="AD26" i="21"/>
  <c r="AC26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3" i="21"/>
  <c r="AI23" i="21"/>
  <c r="AH23" i="21"/>
  <c r="AG23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0" i="21"/>
  <c r="AI20" i="21"/>
  <c r="AH20" i="21"/>
  <c r="AG20" i="21"/>
  <c r="AF20" i="21"/>
  <c r="AE20" i="21"/>
  <c r="AD20" i="21"/>
  <c r="AC20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7" i="21"/>
  <c r="AI17" i="21"/>
  <c r="AH17" i="21"/>
  <c r="AG17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5" i="21"/>
  <c r="AI15" i="21"/>
  <c r="AH15" i="21"/>
  <c r="AG15" i="21"/>
  <c r="AF15" i="21"/>
  <c r="AE15" i="21"/>
  <c r="AD15" i="21"/>
  <c r="AC15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I14" i="21"/>
  <c r="C14" i="21"/>
  <c r="AI13" i="21"/>
  <c r="C13" i="21"/>
  <c r="AI12" i="21"/>
  <c r="C12" i="21"/>
  <c r="AI11" i="21"/>
  <c r="C11" i="21"/>
  <c r="AI10" i="21"/>
  <c r="C10" i="21"/>
  <c r="AI9" i="21"/>
  <c r="C9" i="21"/>
  <c r="AI8" i="21"/>
  <c r="C8" i="21"/>
  <c r="AI7" i="21"/>
  <c r="C7" i="21"/>
  <c r="A3" i="21"/>
  <c r="A3" i="37"/>
</calcChain>
</file>

<file path=xl/sharedStrings.xml><?xml version="1.0" encoding="utf-8"?>
<sst xmlns="http://schemas.openxmlformats.org/spreadsheetml/2006/main" count="220" uniqueCount="93">
  <si>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</si>
  <si>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</si>
  <si>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</si>
  <si>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</si>
  <si>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</si>
  <si>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</si>
  <si>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</si>
  <si>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</si>
  <si>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</si>
  <si>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</si>
  <si>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</si>
  <si>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</si>
  <si>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</si>
  <si>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</si>
  <si>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</si>
  <si>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</si>
  <si>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</si>
  <si>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</si>
  <si>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</si>
  <si>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</si>
  <si>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</si>
  <si>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</si>
  <si>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</si>
  <si>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</si>
  <si>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</si>
  <si>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</si>
  <si>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</si>
  <si>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</si>
  <si>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</si>
  <si>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</si>
  <si>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</si>
  <si>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</si>
  <si>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</si>
  <si>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</si>
  <si>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</si>
  <si>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</si>
  <si>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</si>
  <si>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</si>
  <si>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</si>
  <si>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</si>
  <si>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</si>
  <si>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</si>
  <si>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</si>
  <si>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</si>
  <si>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</si>
  <si>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</si>
  <si>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</si>
  <si>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</si>
  <si>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</si>
  <si>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</si>
  <si>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</si>
  <si>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</si>
  <si>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</si>
  <si>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</si>
  <si>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</si>
  <si>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</si>
  <si>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PISTOLET</t>
  </si>
  <si>
    <t>CIBOURE</t>
  </si>
  <si>
    <t>2024/2025</t>
  </si>
  <si>
    <t>AQUITAINE</t>
  </si>
  <si>
    <t>GARIVET PATRICK</t>
  </si>
  <si>
    <t>06 86 75 13 69</t>
  </si>
  <si>
    <t>garivet40@gmail.com</t>
  </si>
  <si>
    <t>PAS DE TIR VERT GALANT</t>
  </si>
  <si>
    <t>AMATI Christophe</t>
  </si>
  <si>
    <t>BACHACOU Romain</t>
  </si>
  <si>
    <t>BAJU Jean Robert</t>
  </si>
  <si>
    <t>SUCERE Marie</t>
  </si>
  <si>
    <t>CWERNER Benoit</t>
  </si>
  <si>
    <t>ACHOTEGUI RICHARD</t>
  </si>
  <si>
    <t>PARNAUD MICHAEL</t>
  </si>
  <si>
    <t>ROUQUETTE JEAN LOUIS</t>
  </si>
  <si>
    <t>MEURTIN VINCENT</t>
  </si>
  <si>
    <t>ST CIBOURE 2</t>
  </si>
  <si>
    <t>ST CIBOURE 1</t>
  </si>
  <si>
    <t>SIERRA PIERRE</t>
  </si>
  <si>
    <t>ALFONSO ERMINIA</t>
  </si>
  <si>
    <t>ROSSARD JULIEN</t>
  </si>
  <si>
    <t>HARAN BRUNO</t>
  </si>
  <si>
    <t>FRANCS TIREURS DE MONT</t>
  </si>
  <si>
    <t>WALKER MELANIE</t>
  </si>
  <si>
    <t>LATOUR LAURENT</t>
  </si>
  <si>
    <t>LAFARGUE YOANN</t>
  </si>
  <si>
    <t>PETIT SEBASTIEN</t>
  </si>
  <si>
    <t>ST LONS</t>
  </si>
  <si>
    <t>PANTELEYEV KONSTANTIN</t>
  </si>
  <si>
    <t>PHAM CONGDUC</t>
  </si>
  <si>
    <t>LUX LAURENT</t>
  </si>
  <si>
    <t>BRENN MARJOLAINE</t>
  </si>
  <si>
    <t>2.64.059</t>
  </si>
  <si>
    <t>KEOKINNALY HANSAY</t>
  </si>
  <si>
    <t>DESTENAVE JEAN-FRANCOIS</t>
  </si>
  <si>
    <t>GOBIN MAXIME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</si>
</sst>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7.15" customHeight="1">
      <c r="A1" s="197" t="s">
        <v>46</v>
      </c>
      <c r="B1" s="198"/>
      <c r="C1" s="198"/>
    </row>
    <row r="2" spans="1:3" ht="25.15" customHeight="1">
      <c r="A2" s="199"/>
      <c r="B2" s="199"/>
      <c r="C2" s="199"/>
    </row>
    <row r="3" spans="1:3" ht="25.15" customHeight="1">
      <c r="A3" s="202" t="s">
        <v>22</v>
      </c>
      <c r="B3" s="202"/>
      <c r="C3" s="202"/>
    </row>
    <row r="4" spans="1:3" ht="25.15" customHeight="1">
      <c r="A4" s="63" t="s">
        <v>27</v>
      </c>
      <c r="B4" s="48">
        <v>44207</v>
      </c>
      <c r="C4" s="64"/>
    </row>
    <row r="5" spans="1:3" ht="25.15" customHeight="1">
      <c r="A5" s="63" t="s">
        <v>28</v>
      </c>
      <c r="B5" s="6" t="s">
        <v>57</v>
      </c>
      <c r="C5" s="64"/>
    </row>
    <row r="6" spans="1:3" ht="25.15" customHeight="1">
      <c r="A6" s="63" t="s">
        <v>25</v>
      </c>
      <c r="B6" s="33" t="s">
        <v>58</v>
      </c>
      <c r="C6" s="64"/>
    </row>
    <row r="7" spans="1:3" ht="25.15" customHeight="1">
      <c r="A7" s="63" t="s">
        <v>6</v>
      </c>
      <c r="B7" s="6" t="s">
        <v>56</v>
      </c>
      <c r="C7" s="64" t="s">
        <v>24</v>
      </c>
    </row>
    <row r="8" spans="1:3" ht="25.15" customHeight="1">
      <c r="A8" s="63" t="s">
        <v>17</v>
      </c>
      <c r="B8" s="61">
        <v>5</v>
      </c>
      <c r="C8" s="64"/>
    </row>
    <row r="9" spans="1:3" ht="25.15" customHeight="1">
      <c r="A9" s="5" t="s">
        <v>23</v>
      </c>
      <c r="B9" s="42" t="s">
        <v>59</v>
      </c>
      <c r="C9" s="64" t="s">
        <v>19</v>
      </c>
    </row>
    <row r="10" spans="1:3" ht="25.15" customHeight="1">
      <c r="A10" s="65"/>
      <c r="B10" s="65"/>
      <c r="C10" s="66"/>
    </row>
    <row r="11" spans="1:3" ht="25.1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1.9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abSelected="1" zoomScale="25" zoomScaleNormal="25" zoomScaleSheetLayoutView="40" zoomScalePageLayoutView="30" workbookViewId="0">
      <pane xSplit="4" ySplit="6" topLeftCell="AC7" activePane="bottomRight" state="frozenSplit"/>
      <selection pane="topRight" activeCell="E1" sqref="E1"/>
      <selection pane="bottomLeft" activeCell="A3" sqref="A3"/>
      <selection pane="bottomRight" activeCell="AC13" sqref="AC13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3.9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1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" customHeight="1">
      <c r="A3" s="206" t="str">
        <f>CONCATENATE("MATCH DE QUALIFICATION"," - ",INFO!B7," - ",INFO!B9)</f>
        <v>MATCH DE QUALIFICATION - PISTOLET - AQUITAINE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150000000000006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3</v>
      </c>
      <c r="C7" s="80" t="s">
        <v>63</v>
      </c>
      <c r="D7" s="81">
        <v>264302</v>
      </c>
      <c r="E7" s="82" t="s">
        <v>64</v>
      </c>
      <c r="F7" s="134">
        <v>84</v>
      </c>
      <c r="G7" s="134">
        <v>79</v>
      </c>
      <c r="H7" s="134">
        <v>90</v>
      </c>
      <c r="I7" s="135">
        <f>SUM(F7:H7)</f>
        <v>253</v>
      </c>
      <c r="J7" s="83"/>
      <c r="K7" s="84" t="s">
        <v>65</v>
      </c>
      <c r="L7" s="134">
        <v>90</v>
      </c>
      <c r="M7" s="134">
        <v>87</v>
      </c>
      <c r="N7" s="140">
        <v>80</v>
      </c>
      <c r="O7" s="141">
        <f>SUM(L7:N7)</f>
        <v>257</v>
      </c>
      <c r="P7" s="85"/>
      <c r="Q7" s="84" t="s">
        <v>66</v>
      </c>
      <c r="R7" s="134">
        <v>92</v>
      </c>
      <c r="S7" s="134">
        <v>84</v>
      </c>
      <c r="T7" s="140">
        <v>86</v>
      </c>
      <c r="U7" s="141">
        <f>SUM(R7:T7)</f>
        <v>262</v>
      </c>
      <c r="V7" s="85"/>
      <c r="W7" s="84" t="s">
        <v>67</v>
      </c>
      <c r="X7" s="134">
        <v>92</v>
      </c>
      <c r="Y7" s="134">
        <v>95</v>
      </c>
      <c r="Z7" s="140">
        <v>90</v>
      </c>
      <c r="AA7" s="141">
        <f>SUM(X7:Z7)</f>
        <v>277</v>
      </c>
      <c r="AB7" s="85"/>
      <c r="AC7" s="84" t="s">
        <v>68</v>
      </c>
      <c r="AD7" s="134">
        <v>90</v>
      </c>
      <c r="AE7" s="134">
        <v>94</v>
      </c>
      <c r="AF7" s="140">
        <v>91</v>
      </c>
      <c r="AG7" s="141">
        <f>SUM(AD7:AF7)</f>
        <v>275</v>
      </c>
      <c r="AH7" s="85"/>
      <c r="AI7" s="146">
        <f>SUM(I7+O7+U7+AA7+AG7)</f>
        <v>1324</v>
      </c>
      <c r="AJ7" s="86">
        <f>J7+P7+V7+AB7+AH7</f>
        <v>0</v>
      </c>
      <c r="AL7" s="87">
        <f>I7+O7+U7+AA7+AG7+(0.000001*(J7+P7+V7+AB7+AH7))+(0.000000001*(H7+N7+T7+Z7+AF7))+(0.000000000001*(G7+M7+S7+Y7+AE7))</f>
        <v>1324.000000437439</v>
      </c>
    </row>
    <row r="8" spans="1:38" ht="120" customHeight="1">
      <c r="A8" s="88">
        <v>2</v>
      </c>
      <c r="B8" s="132">
        <f t="shared" si="0"/>
        <v>4</v>
      </c>
      <c r="C8" s="89" t="s">
        <v>74</v>
      </c>
      <c r="D8" s="90">
        <v>264120</v>
      </c>
      <c r="E8" s="91" t="s">
        <v>69</v>
      </c>
      <c r="F8" s="136">
        <v>86</v>
      </c>
      <c r="G8" s="136">
        <v>83</v>
      </c>
      <c r="H8" s="136">
        <v>84</v>
      </c>
      <c r="I8" s="137">
        <f>SUM(F8:H8)</f>
        <v>253</v>
      </c>
      <c r="J8" s="92"/>
      <c r="K8" s="93" t="s">
        <v>70</v>
      </c>
      <c r="L8" s="136">
        <v>87</v>
      </c>
      <c r="M8" s="136">
        <v>86</v>
      </c>
      <c r="N8" s="142">
        <v>90</v>
      </c>
      <c r="O8" s="143">
        <f>SUM(L8:N8)</f>
        <v>263</v>
      </c>
      <c r="P8" s="94"/>
      <c r="Q8" s="93" t="s">
        <v>71</v>
      </c>
      <c r="R8" s="136">
        <v>92</v>
      </c>
      <c r="S8" s="136">
        <v>81</v>
      </c>
      <c r="T8" s="142">
        <v>88</v>
      </c>
      <c r="U8" s="143">
        <f>SUM(R8:T8)</f>
        <v>261</v>
      </c>
      <c r="V8" s="94"/>
      <c r="W8" s="93" t="s">
        <v>72</v>
      </c>
      <c r="X8" s="136">
        <v>89</v>
      </c>
      <c r="Y8" s="136">
        <v>92</v>
      </c>
      <c r="Z8" s="142">
        <v>91</v>
      </c>
      <c r="AA8" s="143">
        <f>SUM(X8:Z8)</f>
        <v>272</v>
      </c>
      <c r="AB8" s="94"/>
      <c r="AC8" s="93" t="s">
        <v>90</v>
      </c>
      <c r="AD8" s="136">
        <v>89</v>
      </c>
      <c r="AE8" s="136">
        <v>93</v>
      </c>
      <c r="AF8" s="142">
        <v>86</v>
      </c>
      <c r="AG8" s="143">
        <f>SUM(AD8:AF8)</f>
        <v>268</v>
      </c>
      <c r="AH8" s="94"/>
      <c r="AI8" s="147">
        <f>SUM(I8+O8+U8+AA8+AG8)</f>
        <v>1317</v>
      </c>
      <c r="AJ8" s="95">
        <f t="shared" ref="AJ8:AJ26" si="1">J8+P8+V8+AB8+AH8</f>
        <v>0</v>
      </c>
      <c r="AL8" s="87">
        <f t="shared" ref="AL8:AL26" si="2">I8+O8+U8+AA8+AG8+(0.000001*(J8+P8+V8+AB8+AH8))+(0.000000001*(H8+N8+T8+Z8+AF8))+(0.000000000001*(G8+M8+S8+Y8+AE8))</f>
        <v>1317.0000004394349</v>
      </c>
    </row>
    <row r="9" spans="1:38" ht="120" customHeight="1">
      <c r="A9" s="88">
        <v>3</v>
      </c>
      <c r="B9" s="132">
        <f t="shared" si="0"/>
        <v>5</v>
      </c>
      <c r="C9" s="89" t="s">
        <v>73</v>
      </c>
      <c r="D9" s="90">
        <v>264120</v>
      </c>
      <c r="E9" s="93" t="s">
        <v>76</v>
      </c>
      <c r="F9" s="136">
        <v>80</v>
      </c>
      <c r="G9" s="136">
        <v>84</v>
      </c>
      <c r="H9" s="136">
        <v>82</v>
      </c>
      <c r="I9" s="137">
        <f>SUM(F9:H9)</f>
        <v>246</v>
      </c>
      <c r="J9" s="92"/>
      <c r="K9" s="93" t="s">
        <v>60</v>
      </c>
      <c r="L9" s="136">
        <v>85</v>
      </c>
      <c r="M9" s="136">
        <v>77</v>
      </c>
      <c r="N9" s="142">
        <v>80</v>
      </c>
      <c r="O9" s="143">
        <f>SUM(L9:N9)</f>
        <v>242</v>
      </c>
      <c r="P9" s="94"/>
      <c r="Q9" s="91" t="s">
        <v>75</v>
      </c>
      <c r="R9" s="136">
        <v>81</v>
      </c>
      <c r="S9" s="136">
        <v>90</v>
      </c>
      <c r="T9" s="142">
        <v>87</v>
      </c>
      <c r="U9" s="143">
        <f>SUM(R9:T9)</f>
        <v>258</v>
      </c>
      <c r="V9" s="94"/>
      <c r="W9" s="93" t="s">
        <v>77</v>
      </c>
      <c r="X9" s="136">
        <v>88</v>
      </c>
      <c r="Y9" s="136">
        <v>82</v>
      </c>
      <c r="Z9" s="142">
        <v>89</v>
      </c>
      <c r="AA9" s="143">
        <f>SUM(X9:Z9)</f>
        <v>259</v>
      </c>
      <c r="AB9" s="94"/>
      <c r="AC9" s="93" t="s">
        <v>78</v>
      </c>
      <c r="AD9" s="136">
        <v>76</v>
      </c>
      <c r="AE9" s="136">
        <v>85</v>
      </c>
      <c r="AF9" s="142">
        <v>86</v>
      </c>
      <c r="AG9" s="143">
        <f>SUM(AD9:AF9)</f>
        <v>247</v>
      </c>
      <c r="AH9" s="94"/>
      <c r="AI9" s="147">
        <f>SUM(I9+O9+U9+AA9+AG9)</f>
        <v>1252</v>
      </c>
      <c r="AJ9" s="95">
        <f t="shared" si="1"/>
        <v>0</v>
      </c>
      <c r="AL9" s="87">
        <f t="shared" si="2"/>
        <v>1252.000000424418</v>
      </c>
    </row>
    <row r="10" spans="1:38" ht="120" customHeight="1">
      <c r="A10" s="88">
        <v>4</v>
      </c>
      <c r="B10" s="132">
        <f t="shared" si="0"/>
        <v>2</v>
      </c>
      <c r="C10" s="89" t="s">
        <v>79</v>
      </c>
      <c r="D10" s="90">
        <v>264062</v>
      </c>
      <c r="E10" s="91" t="s">
        <v>80</v>
      </c>
      <c r="F10" s="136">
        <v>93</v>
      </c>
      <c r="G10" s="136">
        <v>88</v>
      </c>
      <c r="H10" s="136">
        <v>85</v>
      </c>
      <c r="I10" s="137">
        <f t="shared" ref="I10:I26" si="3">SUM(F10:H10)</f>
        <v>266</v>
      </c>
      <c r="J10" s="92"/>
      <c r="K10" s="93" t="s">
        <v>81</v>
      </c>
      <c r="L10" s="136">
        <v>84</v>
      </c>
      <c r="M10" s="136">
        <v>85</v>
      </c>
      <c r="N10" s="142">
        <v>92</v>
      </c>
      <c r="O10" s="143">
        <f t="shared" ref="O10:O26" si="4">SUM(L10:N10)</f>
        <v>261</v>
      </c>
      <c r="P10" s="94"/>
      <c r="Q10" s="93" t="s">
        <v>82</v>
      </c>
      <c r="R10" s="136">
        <v>83</v>
      </c>
      <c r="S10" s="136">
        <v>83</v>
      </c>
      <c r="T10" s="142">
        <v>88</v>
      </c>
      <c r="U10" s="143">
        <f t="shared" ref="U10:U26" si="5">SUM(R10:T10)</f>
        <v>254</v>
      </c>
      <c r="V10" s="94"/>
      <c r="W10" s="93" t="s">
        <v>92</v>
      </c>
      <c r="X10" s="136">
        <v>86</v>
      </c>
      <c r="Y10" s="136">
        <v>88</v>
      </c>
      <c r="Z10" s="142">
        <v>87</v>
      </c>
      <c r="AA10" s="143">
        <f t="shared" ref="AA10:AA26" si="6">SUM(X10:Z10)</f>
        <v>261</v>
      </c>
      <c r="AB10" s="94"/>
      <c r="AC10" s="93" t="s">
        <v>83</v>
      </c>
      <c r="AD10" s="136">
        <v>97</v>
      </c>
      <c r="AE10" s="136">
        <v>90</v>
      </c>
      <c r="AF10" s="142">
        <v>95</v>
      </c>
      <c r="AG10" s="143">
        <f t="shared" ref="AG10:AG26" si="7">SUM(AD10:AF10)</f>
        <v>282</v>
      </c>
      <c r="AH10" s="94"/>
      <c r="AI10" s="147">
        <f t="shared" ref="AI10:AI26" si="8">SUM(I10+O10+U10+AA10+AG10)</f>
        <v>1324</v>
      </c>
      <c r="AJ10" s="95">
        <f t="shared" si="1"/>
        <v>0</v>
      </c>
      <c r="AL10" s="87">
        <f t="shared" si="2"/>
        <v>1324.0000004474341</v>
      </c>
    </row>
    <row r="11" spans="1:38" ht="120" customHeight="1">
      <c r="A11" s="88">
        <v>5</v>
      </c>
      <c r="B11" s="132">
        <f t="shared" si="0"/>
        <v>1</v>
      </c>
      <c r="C11" s="89" t="s">
        <v>84</v>
      </c>
      <c r="D11" s="90" t="s">
        <v>89</v>
      </c>
      <c r="E11" s="91" t="s">
        <v>85</v>
      </c>
      <c r="F11" s="136">
        <v>96</v>
      </c>
      <c r="G11" s="136">
        <v>94</v>
      </c>
      <c r="H11" s="136">
        <v>95</v>
      </c>
      <c r="I11" s="137">
        <f t="shared" si="3"/>
        <v>285</v>
      </c>
      <c r="J11" s="92"/>
      <c r="K11" s="93" t="s">
        <v>91</v>
      </c>
      <c r="L11" s="136">
        <v>95</v>
      </c>
      <c r="M11" s="136">
        <v>89</v>
      </c>
      <c r="N11" s="142">
        <v>87</v>
      </c>
      <c r="O11" s="143">
        <f t="shared" si="4"/>
        <v>271</v>
      </c>
      <c r="P11" s="94"/>
      <c r="Q11" s="93" t="s">
        <v>86</v>
      </c>
      <c r="R11" s="136">
        <v>89</v>
      </c>
      <c r="S11" s="136">
        <v>90</v>
      </c>
      <c r="T11" s="142">
        <v>88</v>
      </c>
      <c r="U11" s="143">
        <f t="shared" si="5"/>
        <v>267</v>
      </c>
      <c r="V11" s="94"/>
      <c r="W11" s="93" t="s">
        <v>87</v>
      </c>
      <c r="X11" s="136">
        <v>91</v>
      </c>
      <c r="Y11" s="136">
        <v>87</v>
      </c>
      <c r="Z11" s="142">
        <v>92</v>
      </c>
      <c r="AA11" s="143">
        <f t="shared" si="6"/>
        <v>270</v>
      </c>
      <c r="AB11" s="94"/>
      <c r="AC11" s="93" t="s">
        <v>88</v>
      </c>
      <c r="AD11" s="136">
        <v>90</v>
      </c>
      <c r="AE11" s="136">
        <v>89</v>
      </c>
      <c r="AF11" s="142">
        <v>91</v>
      </c>
      <c r="AG11" s="143">
        <f t="shared" si="7"/>
        <v>270</v>
      </c>
      <c r="AH11" s="94"/>
      <c r="AI11" s="147">
        <f t="shared" si="8"/>
        <v>1363</v>
      </c>
      <c r="AJ11" s="95">
        <f t="shared" si="1"/>
        <v>0</v>
      </c>
      <c r="AL11" s="87">
        <f t="shared" si="2"/>
        <v>1363.000000453449</v>
      </c>
    </row>
    <row r="12" spans="1:38" ht="120" customHeight="1">
      <c r="A12" s="88">
        <v>6</v>
      </c>
      <c r="B12" s="132">
        <f t="shared" si="0"/>
        <v>6</v>
      </c>
      <c r="C12" s="89"/>
      <c r="D12" s="90"/>
      <c r="E12" s="91"/>
      <c r="F12" s="136"/>
      <c r="G12" s="136"/>
      <c r="H12" s="136"/>
      <c r="I12" s="137">
        <f t="shared" si="3"/>
        <v>0</v>
      </c>
      <c r="J12" s="92"/>
      <c r="K12" s="93"/>
      <c r="L12" s="136"/>
      <c r="M12" s="136"/>
      <c r="N12" s="142"/>
      <c r="O12" s="143">
        <f t="shared" si="4"/>
        <v>0</v>
      </c>
      <c r="P12" s="94"/>
      <c r="Q12" s="93"/>
      <c r="R12" s="136"/>
      <c r="S12" s="136"/>
      <c r="T12" s="142"/>
      <c r="U12" s="143">
        <f t="shared" si="5"/>
        <v>0</v>
      </c>
      <c r="V12" s="94"/>
      <c r="W12" s="93"/>
      <c r="X12" s="136"/>
      <c r="Y12" s="136"/>
      <c r="Z12" s="142"/>
      <c r="AA12" s="143">
        <f t="shared" si="6"/>
        <v>0</v>
      </c>
      <c r="AB12" s="94"/>
      <c r="AC12" s="93"/>
      <c r="AD12" s="136"/>
      <c r="AE12" s="136"/>
      <c r="AF12" s="142"/>
      <c r="AG12" s="143">
        <f t="shared" si="7"/>
        <v>0</v>
      </c>
      <c r="AH12" s="94"/>
      <c r="AI12" s="147">
        <f t="shared" si="8"/>
        <v>0</v>
      </c>
      <c r="AJ12" s="95">
        <f t="shared" si="1"/>
        <v>0</v>
      </c>
      <c r="AL12" s="87">
        <f t="shared" si="2"/>
        <v>0</v>
      </c>
    </row>
    <row r="13" spans="1:38" ht="120" customHeight="1">
      <c r="A13" s="88">
        <v>7</v>
      </c>
      <c r="B13" s="132">
        <f t="shared" si="0"/>
        <v>6</v>
      </c>
      <c r="C13" s="89"/>
      <c r="D13" s="90"/>
      <c r="E13" s="91"/>
      <c r="F13" s="136"/>
      <c r="G13" s="136"/>
      <c r="H13" s="136"/>
      <c r="I13" s="137">
        <f t="shared" si="3"/>
        <v>0</v>
      </c>
      <c r="J13" s="92"/>
      <c r="K13" s="93"/>
      <c r="L13" s="136"/>
      <c r="M13" s="136"/>
      <c r="N13" s="142"/>
      <c r="O13" s="143">
        <f t="shared" si="4"/>
        <v>0</v>
      </c>
      <c r="P13" s="94"/>
      <c r="Q13" s="91"/>
      <c r="R13" s="136"/>
      <c r="S13" s="136"/>
      <c r="T13" s="142"/>
      <c r="U13" s="143">
        <f t="shared" si="5"/>
        <v>0</v>
      </c>
      <c r="V13" s="94"/>
      <c r="W13" s="93"/>
      <c r="X13" s="136"/>
      <c r="Y13" s="136"/>
      <c r="Z13" s="142"/>
      <c r="AA13" s="143">
        <f t="shared" si="6"/>
        <v>0</v>
      </c>
      <c r="AB13" s="94"/>
      <c r="AC13" s="93"/>
      <c r="AD13" s="136"/>
      <c r="AE13" s="136"/>
      <c r="AF13" s="142"/>
      <c r="AG13" s="143">
        <f t="shared" si="7"/>
        <v>0</v>
      </c>
      <c r="AH13" s="94"/>
      <c r="AI13" s="147">
        <f t="shared" si="8"/>
        <v>0</v>
      </c>
      <c r="AJ13" s="95">
        <f t="shared" si="1"/>
        <v>0</v>
      </c>
      <c r="AL13" s="87">
        <f t="shared" si="2"/>
        <v>0</v>
      </c>
    </row>
    <row r="14" spans="1:38" ht="120" customHeight="1">
      <c r="A14" s="88">
        <v>8</v>
      </c>
      <c r="B14" s="132">
        <f t="shared" si="0"/>
        <v>6</v>
      </c>
      <c r="C14" s="89"/>
      <c r="D14" s="90"/>
      <c r="E14" s="91"/>
      <c r="F14" s="136"/>
      <c r="G14" s="136"/>
      <c r="H14" s="136"/>
      <c r="I14" s="137">
        <f t="shared" si="3"/>
        <v>0</v>
      </c>
      <c r="J14" s="92"/>
      <c r="K14" s="93"/>
      <c r="L14" s="136"/>
      <c r="M14" s="136"/>
      <c r="N14" s="142"/>
      <c r="O14" s="143">
        <f t="shared" si="4"/>
        <v>0</v>
      </c>
      <c r="P14" s="94"/>
      <c r="Q14" s="93"/>
      <c r="R14" s="136"/>
      <c r="S14" s="136"/>
      <c r="T14" s="142"/>
      <c r="U14" s="143">
        <f t="shared" si="5"/>
        <v>0</v>
      </c>
      <c r="V14" s="94"/>
      <c r="W14" s="93"/>
      <c r="X14" s="136"/>
      <c r="Y14" s="136"/>
      <c r="Z14" s="142"/>
      <c r="AA14" s="143">
        <f t="shared" si="6"/>
        <v>0</v>
      </c>
      <c r="AB14" s="94"/>
      <c r="AC14" s="93"/>
      <c r="AD14" s="136"/>
      <c r="AE14" s="136"/>
      <c r="AF14" s="142"/>
      <c r="AG14" s="143">
        <f t="shared" si="7"/>
        <v>0</v>
      </c>
      <c r="AH14" s="94"/>
      <c r="AI14" s="147">
        <f t="shared" si="8"/>
        <v>0</v>
      </c>
      <c r="AJ14" s="95">
        <f t="shared" si="1"/>
        <v>0</v>
      </c>
      <c r="AL14" s="87">
        <f t="shared" si="2"/>
        <v>0</v>
      </c>
    </row>
    <row r="15" spans="1:38" ht="120" customHeight="1">
      <c r="A15" s="88">
        <v>9</v>
      </c>
      <c r="B15" s="132">
        <f t="shared" si="0"/>
        <v>6</v>
      </c>
      <c r="C15" s="89"/>
      <c r="D15" s="90"/>
      <c r="E15" s="91"/>
      <c r="F15" s="136"/>
      <c r="G15" s="136"/>
      <c r="H15" s="136"/>
      <c r="I15" s="137">
        <f t="shared" si="3"/>
        <v>0</v>
      </c>
      <c r="J15" s="92"/>
      <c r="K15" s="93"/>
      <c r="L15" s="136"/>
      <c r="M15" s="136"/>
      <c r="N15" s="142"/>
      <c r="O15" s="143">
        <f t="shared" si="4"/>
        <v>0</v>
      </c>
      <c r="P15" s="94"/>
      <c r="Q15" s="93"/>
      <c r="R15" s="136"/>
      <c r="S15" s="136"/>
      <c r="T15" s="142"/>
      <c r="U15" s="143">
        <f t="shared" si="5"/>
        <v>0</v>
      </c>
      <c r="V15" s="94"/>
      <c r="W15" s="93"/>
      <c r="X15" s="136"/>
      <c r="Y15" s="136"/>
      <c r="Z15" s="142"/>
      <c r="AA15" s="143">
        <f t="shared" si="6"/>
        <v>0</v>
      </c>
      <c r="AB15" s="94"/>
      <c r="AC15" s="93"/>
      <c r="AD15" s="136"/>
      <c r="AE15" s="136"/>
      <c r="AF15" s="142"/>
      <c r="AG15" s="143">
        <f t="shared" si="7"/>
        <v>0</v>
      </c>
      <c r="AH15" s="94"/>
      <c r="AI15" s="147">
        <f t="shared" si="8"/>
        <v>0</v>
      </c>
      <c r="AJ15" s="95">
        <f t="shared" si="1"/>
        <v>0</v>
      </c>
      <c r="AL15" s="87">
        <f t="shared" si="2"/>
        <v>0</v>
      </c>
    </row>
    <row r="16" spans="1:38" ht="120" customHeight="1">
      <c r="A16" s="88">
        <v>10</v>
      </c>
      <c r="B16" s="132">
        <f t="shared" si="0"/>
        <v>6</v>
      </c>
      <c r="C16" s="89"/>
      <c r="D16" s="90"/>
      <c r="E16" s="91"/>
      <c r="F16" s="136"/>
      <c r="G16" s="136"/>
      <c r="H16" s="136"/>
      <c r="I16" s="137">
        <f t="shared" si="3"/>
        <v>0</v>
      </c>
      <c r="J16" s="92"/>
      <c r="K16" s="93"/>
      <c r="L16" s="136"/>
      <c r="M16" s="136"/>
      <c r="N16" s="142"/>
      <c r="O16" s="143">
        <f t="shared" si="4"/>
        <v>0</v>
      </c>
      <c r="P16" s="94"/>
      <c r="Q16" s="93"/>
      <c r="R16" s="136"/>
      <c r="S16" s="136"/>
      <c r="T16" s="142"/>
      <c r="U16" s="143">
        <f t="shared" si="5"/>
        <v>0</v>
      </c>
      <c r="V16" s="94"/>
      <c r="W16" s="93"/>
      <c r="X16" s="136"/>
      <c r="Y16" s="136"/>
      <c r="Z16" s="142"/>
      <c r="AA16" s="143">
        <f t="shared" si="6"/>
        <v>0</v>
      </c>
      <c r="AB16" s="94"/>
      <c r="AC16" s="93"/>
      <c r="AD16" s="136"/>
      <c r="AE16" s="136"/>
      <c r="AF16" s="142"/>
      <c r="AG16" s="143">
        <f t="shared" si="7"/>
        <v>0</v>
      </c>
      <c r="AH16" s="94"/>
      <c r="AI16" s="147">
        <f t="shared" si="8"/>
        <v>0</v>
      </c>
      <c r="AJ16" s="95">
        <f t="shared" si="1"/>
        <v>0</v>
      </c>
      <c r="AL16" s="87">
        <f t="shared" si="2"/>
        <v>0</v>
      </c>
    </row>
    <row r="17" spans="1:38" ht="120" customHeight="1">
      <c r="A17" s="88">
        <v>11</v>
      </c>
      <c r="B17" s="132">
        <f t="shared" si="0"/>
        <v>6</v>
      </c>
      <c r="C17" s="89"/>
      <c r="D17" s="90"/>
      <c r="E17" s="91"/>
      <c r="F17" s="136"/>
      <c r="G17" s="136"/>
      <c r="H17" s="136"/>
      <c r="I17" s="137">
        <f t="shared" si="3"/>
        <v>0</v>
      </c>
      <c r="J17" s="92"/>
      <c r="K17" s="93"/>
      <c r="L17" s="136"/>
      <c r="M17" s="136"/>
      <c r="N17" s="142"/>
      <c r="O17" s="143">
        <f t="shared" si="4"/>
        <v>0</v>
      </c>
      <c r="P17" s="94"/>
      <c r="Q17" s="93"/>
      <c r="R17" s="136"/>
      <c r="S17" s="136"/>
      <c r="T17" s="142"/>
      <c r="U17" s="143">
        <f t="shared" si="5"/>
        <v>0</v>
      </c>
      <c r="V17" s="94"/>
      <c r="W17" s="93"/>
      <c r="X17" s="136"/>
      <c r="Y17" s="136"/>
      <c r="Z17" s="142"/>
      <c r="AA17" s="143">
        <f t="shared" si="6"/>
        <v>0</v>
      </c>
      <c r="AB17" s="94"/>
      <c r="AC17" s="93"/>
      <c r="AD17" s="136"/>
      <c r="AE17" s="136"/>
      <c r="AF17" s="142"/>
      <c r="AG17" s="143">
        <f t="shared" si="7"/>
        <v>0</v>
      </c>
      <c r="AH17" s="94"/>
      <c r="AI17" s="147">
        <f t="shared" si="8"/>
        <v>0</v>
      </c>
      <c r="AJ17" s="95">
        <f t="shared" si="1"/>
        <v>0</v>
      </c>
      <c r="AL17" s="87">
        <f t="shared" si="2"/>
        <v>0</v>
      </c>
    </row>
    <row r="18" spans="1:38" ht="120" customHeight="1">
      <c r="A18" s="88">
        <v>12</v>
      </c>
      <c r="B18" s="132">
        <f t="shared" si="0"/>
        <v>6</v>
      </c>
      <c r="C18" s="89"/>
      <c r="D18" s="90"/>
      <c r="E18" s="91"/>
      <c r="F18" s="136"/>
      <c r="G18" s="136"/>
      <c r="H18" s="136"/>
      <c r="I18" s="137">
        <f t="shared" si="3"/>
        <v>0</v>
      </c>
      <c r="J18" s="92"/>
      <c r="K18" s="93"/>
      <c r="L18" s="136"/>
      <c r="M18" s="136"/>
      <c r="N18" s="142"/>
      <c r="O18" s="143">
        <f t="shared" si="4"/>
        <v>0</v>
      </c>
      <c r="P18" s="94"/>
      <c r="Q18" s="93"/>
      <c r="R18" s="136"/>
      <c r="S18" s="136"/>
      <c r="T18" s="142"/>
      <c r="U18" s="143">
        <f t="shared" si="5"/>
        <v>0</v>
      </c>
      <c r="V18" s="94"/>
      <c r="W18" s="93"/>
      <c r="X18" s="136"/>
      <c r="Y18" s="136"/>
      <c r="Z18" s="142"/>
      <c r="AA18" s="143">
        <f t="shared" si="6"/>
        <v>0</v>
      </c>
      <c r="AB18" s="94"/>
      <c r="AC18" s="93"/>
      <c r="AD18" s="136"/>
      <c r="AE18" s="136"/>
      <c r="AF18" s="142"/>
      <c r="AG18" s="143">
        <f t="shared" si="7"/>
        <v>0</v>
      </c>
      <c r="AH18" s="94"/>
      <c r="AI18" s="147">
        <f t="shared" si="8"/>
        <v>0</v>
      </c>
      <c r="AJ18" s="95">
        <f t="shared" si="1"/>
        <v>0</v>
      </c>
      <c r="AL18" s="87">
        <f t="shared" si="2"/>
        <v>0</v>
      </c>
    </row>
    <row r="19" spans="1:38" ht="120" customHeight="1">
      <c r="A19" s="88">
        <v>13</v>
      </c>
      <c r="B19" s="132">
        <f t="shared" si="0"/>
        <v>6</v>
      </c>
      <c r="C19" s="89"/>
      <c r="D19" s="90"/>
      <c r="E19" s="91"/>
      <c r="F19" s="136"/>
      <c r="G19" s="136"/>
      <c r="H19" s="136"/>
      <c r="I19" s="137">
        <f t="shared" si="3"/>
        <v>0</v>
      </c>
      <c r="J19" s="92"/>
      <c r="K19" s="93"/>
      <c r="L19" s="136"/>
      <c r="M19" s="136"/>
      <c r="N19" s="142"/>
      <c r="O19" s="143">
        <f t="shared" si="4"/>
        <v>0</v>
      </c>
      <c r="P19" s="94"/>
      <c r="Q19" s="93"/>
      <c r="R19" s="136"/>
      <c r="S19" s="136"/>
      <c r="T19" s="142"/>
      <c r="U19" s="143">
        <f t="shared" si="5"/>
        <v>0</v>
      </c>
      <c r="V19" s="94"/>
      <c r="W19" s="93"/>
      <c r="X19" s="136"/>
      <c r="Y19" s="136"/>
      <c r="Z19" s="142"/>
      <c r="AA19" s="143">
        <f t="shared" si="6"/>
        <v>0</v>
      </c>
      <c r="AB19" s="94"/>
      <c r="AC19" s="93"/>
      <c r="AD19" s="136"/>
      <c r="AE19" s="136"/>
      <c r="AF19" s="142"/>
      <c r="AG19" s="143">
        <f t="shared" si="7"/>
        <v>0</v>
      </c>
      <c r="AH19" s="94"/>
      <c r="AI19" s="147">
        <f t="shared" si="8"/>
        <v>0</v>
      </c>
      <c r="AJ19" s="95">
        <f t="shared" si="1"/>
        <v>0</v>
      </c>
      <c r="AL19" s="87">
        <f t="shared" si="2"/>
        <v>0</v>
      </c>
    </row>
    <row r="20" spans="1:38" ht="120" customHeight="1">
      <c r="A20" s="88">
        <v>14</v>
      </c>
      <c r="B20" s="132">
        <f t="shared" si="0"/>
        <v>6</v>
      </c>
      <c r="C20" s="89"/>
      <c r="D20" s="90"/>
      <c r="E20" s="91"/>
      <c r="F20" s="136"/>
      <c r="G20" s="136"/>
      <c r="H20" s="136"/>
      <c r="I20" s="137">
        <f t="shared" si="3"/>
        <v>0</v>
      </c>
      <c r="J20" s="92"/>
      <c r="K20" s="93"/>
      <c r="L20" s="136"/>
      <c r="M20" s="136"/>
      <c r="N20" s="142"/>
      <c r="O20" s="143">
        <f t="shared" si="4"/>
        <v>0</v>
      </c>
      <c r="P20" s="94"/>
      <c r="Q20" s="93"/>
      <c r="R20" s="136"/>
      <c r="S20" s="136"/>
      <c r="T20" s="142"/>
      <c r="U20" s="143">
        <f t="shared" si="5"/>
        <v>0</v>
      </c>
      <c r="V20" s="94"/>
      <c r="W20" s="93"/>
      <c r="X20" s="136"/>
      <c r="Y20" s="136"/>
      <c r="Z20" s="142"/>
      <c r="AA20" s="143">
        <f t="shared" si="6"/>
        <v>0</v>
      </c>
      <c r="AB20" s="94"/>
      <c r="AC20" s="93"/>
      <c r="AD20" s="136"/>
      <c r="AE20" s="136"/>
      <c r="AF20" s="142"/>
      <c r="AG20" s="143">
        <f t="shared" si="7"/>
        <v>0</v>
      </c>
      <c r="AH20" s="94"/>
      <c r="AI20" s="147">
        <f t="shared" si="8"/>
        <v>0</v>
      </c>
      <c r="AJ20" s="95">
        <f t="shared" si="1"/>
        <v>0</v>
      </c>
      <c r="AL20" s="87">
        <f t="shared" si="2"/>
        <v>0</v>
      </c>
    </row>
    <row r="21" spans="1:38" ht="120" customHeight="1">
      <c r="A21" s="88">
        <v>15</v>
      </c>
      <c r="B21" s="132">
        <f t="shared" si="0"/>
        <v>6</v>
      </c>
      <c r="C21" s="89"/>
      <c r="D21" s="90"/>
      <c r="E21" s="91"/>
      <c r="F21" s="136"/>
      <c r="G21" s="136"/>
      <c r="H21" s="136"/>
      <c r="I21" s="137">
        <f t="shared" si="3"/>
        <v>0</v>
      </c>
      <c r="J21" s="92"/>
      <c r="K21" s="93"/>
      <c r="L21" s="136"/>
      <c r="M21" s="136"/>
      <c r="N21" s="142"/>
      <c r="O21" s="143">
        <f t="shared" si="4"/>
        <v>0</v>
      </c>
      <c r="P21" s="94"/>
      <c r="Q21" s="93"/>
      <c r="R21" s="136"/>
      <c r="S21" s="136"/>
      <c r="T21" s="142"/>
      <c r="U21" s="143">
        <f t="shared" si="5"/>
        <v>0</v>
      </c>
      <c r="V21" s="94"/>
      <c r="W21" s="93"/>
      <c r="X21" s="136"/>
      <c r="Y21" s="136"/>
      <c r="Z21" s="142"/>
      <c r="AA21" s="143">
        <f t="shared" si="6"/>
        <v>0</v>
      </c>
      <c r="AB21" s="94"/>
      <c r="AC21" s="93"/>
      <c r="AD21" s="136"/>
      <c r="AE21" s="136"/>
      <c r="AF21" s="142"/>
      <c r="AG21" s="143">
        <f t="shared" si="7"/>
        <v>0</v>
      </c>
      <c r="AH21" s="94"/>
      <c r="AI21" s="147">
        <f t="shared" si="8"/>
        <v>0</v>
      </c>
      <c r="AJ21" s="95">
        <f t="shared" si="1"/>
        <v>0</v>
      </c>
      <c r="AL21" s="87">
        <f t="shared" si="2"/>
        <v>0</v>
      </c>
    </row>
    <row r="22" spans="1:38" ht="120" customHeight="1">
      <c r="A22" s="88">
        <v>16</v>
      </c>
      <c r="B22" s="132">
        <f t="shared" si="0"/>
        <v>6</v>
      </c>
      <c r="C22" s="89"/>
      <c r="D22" s="90"/>
      <c r="E22" s="91"/>
      <c r="F22" s="136"/>
      <c r="G22" s="136"/>
      <c r="H22" s="136"/>
      <c r="I22" s="137">
        <f t="shared" si="3"/>
        <v>0</v>
      </c>
      <c r="J22" s="92"/>
      <c r="K22" s="93"/>
      <c r="L22" s="136"/>
      <c r="M22" s="136"/>
      <c r="N22" s="142"/>
      <c r="O22" s="143">
        <f t="shared" si="4"/>
        <v>0</v>
      </c>
      <c r="P22" s="94"/>
      <c r="Q22" s="93"/>
      <c r="R22" s="136"/>
      <c r="S22" s="136"/>
      <c r="T22" s="142"/>
      <c r="U22" s="143">
        <f t="shared" si="5"/>
        <v>0</v>
      </c>
      <c r="V22" s="94"/>
      <c r="W22" s="93"/>
      <c r="X22" s="136"/>
      <c r="Y22" s="136"/>
      <c r="Z22" s="142"/>
      <c r="AA22" s="143">
        <f t="shared" si="6"/>
        <v>0</v>
      </c>
      <c r="AB22" s="94"/>
      <c r="AC22" s="93"/>
      <c r="AD22" s="136"/>
      <c r="AE22" s="136"/>
      <c r="AF22" s="142"/>
      <c r="AG22" s="143">
        <f t="shared" si="7"/>
        <v>0</v>
      </c>
      <c r="AH22" s="94"/>
      <c r="AI22" s="147">
        <f t="shared" si="8"/>
        <v>0</v>
      </c>
      <c r="AJ22" s="95">
        <f t="shared" si="1"/>
        <v>0</v>
      </c>
      <c r="AL22" s="87">
        <f t="shared" si="2"/>
        <v>0</v>
      </c>
    </row>
    <row r="23" spans="1:38" ht="120" customHeight="1">
      <c r="A23" s="88">
        <v>17</v>
      </c>
      <c r="B23" s="132">
        <f t="shared" si="0"/>
        <v>6</v>
      </c>
      <c r="C23" s="89"/>
      <c r="D23" s="90"/>
      <c r="E23" s="91"/>
      <c r="F23" s="136"/>
      <c r="G23" s="136"/>
      <c r="H23" s="136"/>
      <c r="I23" s="137">
        <f t="shared" si="3"/>
        <v>0</v>
      </c>
      <c r="J23" s="92"/>
      <c r="K23" s="93"/>
      <c r="L23" s="136"/>
      <c r="M23" s="136"/>
      <c r="N23" s="142"/>
      <c r="O23" s="143">
        <f t="shared" si="4"/>
        <v>0</v>
      </c>
      <c r="P23" s="94"/>
      <c r="Q23" s="93"/>
      <c r="R23" s="136"/>
      <c r="S23" s="136"/>
      <c r="T23" s="142"/>
      <c r="U23" s="143">
        <f t="shared" si="5"/>
        <v>0</v>
      </c>
      <c r="V23" s="94"/>
      <c r="W23" s="93"/>
      <c r="X23" s="136"/>
      <c r="Y23" s="136"/>
      <c r="Z23" s="142"/>
      <c r="AA23" s="143">
        <f t="shared" si="6"/>
        <v>0</v>
      </c>
      <c r="AB23" s="94"/>
      <c r="AC23" s="93"/>
      <c r="AD23" s="136"/>
      <c r="AE23" s="136"/>
      <c r="AF23" s="142"/>
      <c r="AG23" s="143">
        <f t="shared" si="7"/>
        <v>0</v>
      </c>
      <c r="AH23" s="94"/>
      <c r="AI23" s="147">
        <f t="shared" si="8"/>
        <v>0</v>
      </c>
      <c r="AJ23" s="95">
        <f t="shared" si="1"/>
        <v>0</v>
      </c>
      <c r="AL23" s="87">
        <f t="shared" si="2"/>
        <v>0</v>
      </c>
    </row>
    <row r="24" spans="1:38" ht="120" customHeight="1">
      <c r="A24" s="88">
        <v>18</v>
      </c>
      <c r="B24" s="132">
        <f t="shared" si="0"/>
        <v>6</v>
      </c>
      <c r="C24" s="89"/>
      <c r="D24" s="90"/>
      <c r="E24" s="91"/>
      <c r="F24" s="136"/>
      <c r="G24" s="136"/>
      <c r="H24" s="136"/>
      <c r="I24" s="137">
        <f t="shared" si="3"/>
        <v>0</v>
      </c>
      <c r="J24" s="92"/>
      <c r="K24" s="93"/>
      <c r="L24" s="136"/>
      <c r="M24" s="136"/>
      <c r="N24" s="142"/>
      <c r="O24" s="143">
        <f t="shared" si="4"/>
        <v>0</v>
      </c>
      <c r="P24" s="94"/>
      <c r="Q24" s="93"/>
      <c r="R24" s="136"/>
      <c r="S24" s="136"/>
      <c r="T24" s="142"/>
      <c r="U24" s="143">
        <f t="shared" si="5"/>
        <v>0</v>
      </c>
      <c r="V24" s="94"/>
      <c r="W24" s="93"/>
      <c r="X24" s="136"/>
      <c r="Y24" s="136"/>
      <c r="Z24" s="142"/>
      <c r="AA24" s="143">
        <f t="shared" si="6"/>
        <v>0</v>
      </c>
      <c r="AB24" s="94"/>
      <c r="AC24" s="93"/>
      <c r="AD24" s="136"/>
      <c r="AE24" s="136"/>
      <c r="AF24" s="142"/>
      <c r="AG24" s="143">
        <f t="shared" si="7"/>
        <v>0</v>
      </c>
      <c r="AH24" s="94"/>
      <c r="AI24" s="147">
        <f t="shared" si="8"/>
        <v>0</v>
      </c>
      <c r="AJ24" s="95">
        <f t="shared" si="1"/>
        <v>0</v>
      </c>
      <c r="AL24" s="87">
        <f t="shared" si="2"/>
        <v>0</v>
      </c>
    </row>
    <row r="25" spans="1:38" ht="120" customHeight="1">
      <c r="A25" s="88">
        <v>19</v>
      </c>
      <c r="B25" s="132">
        <f t="shared" si="0"/>
        <v>6</v>
      </c>
      <c r="C25" s="89"/>
      <c r="D25" s="90"/>
      <c r="E25" s="91"/>
      <c r="F25" s="136"/>
      <c r="G25" s="136"/>
      <c r="H25" s="136"/>
      <c r="I25" s="137">
        <f t="shared" si="3"/>
        <v>0</v>
      </c>
      <c r="J25" s="92"/>
      <c r="K25" s="93"/>
      <c r="L25" s="136"/>
      <c r="M25" s="136"/>
      <c r="N25" s="142"/>
      <c r="O25" s="143">
        <f t="shared" si="4"/>
        <v>0</v>
      </c>
      <c r="P25" s="94"/>
      <c r="Q25" s="93"/>
      <c r="R25" s="136"/>
      <c r="S25" s="136"/>
      <c r="T25" s="142"/>
      <c r="U25" s="143">
        <f t="shared" si="5"/>
        <v>0</v>
      </c>
      <c r="V25" s="94"/>
      <c r="W25" s="93"/>
      <c r="X25" s="136"/>
      <c r="Y25" s="136"/>
      <c r="Z25" s="142"/>
      <c r="AA25" s="143">
        <f t="shared" si="6"/>
        <v>0</v>
      </c>
      <c r="AB25" s="94"/>
      <c r="AC25" s="93"/>
      <c r="AD25" s="136"/>
      <c r="AE25" s="136"/>
      <c r="AF25" s="142"/>
      <c r="AG25" s="143">
        <f t="shared" si="7"/>
        <v>0</v>
      </c>
      <c r="AH25" s="94"/>
      <c r="AI25" s="147">
        <f t="shared" si="8"/>
        <v>0</v>
      </c>
      <c r="AJ25" s="95">
        <f t="shared" si="1"/>
        <v>0</v>
      </c>
      <c r="AL25" s="87">
        <f t="shared" si="2"/>
        <v>0</v>
      </c>
    </row>
    <row r="26" spans="1:38" ht="120" customHeight="1" thickBot="1">
      <c r="A26" s="77">
        <v>20</v>
      </c>
      <c r="B26" s="133">
        <f t="shared" si="0"/>
        <v>6</v>
      </c>
      <c r="C26" s="96"/>
      <c r="D26" s="97"/>
      <c r="E26" s="98"/>
      <c r="F26" s="138"/>
      <c r="G26" s="138"/>
      <c r="H26" s="138"/>
      <c r="I26" s="139">
        <f t="shared" si="3"/>
        <v>0</v>
      </c>
      <c r="J26" s="99"/>
      <c r="K26" s="100"/>
      <c r="L26" s="138"/>
      <c r="M26" s="138"/>
      <c r="N26" s="144"/>
      <c r="O26" s="145">
        <f t="shared" si="4"/>
        <v>0</v>
      </c>
      <c r="P26" s="101"/>
      <c r="Q26" s="100"/>
      <c r="R26" s="138"/>
      <c r="S26" s="138"/>
      <c r="T26" s="144"/>
      <c r="U26" s="145">
        <f t="shared" si="5"/>
        <v>0</v>
      </c>
      <c r="V26" s="101"/>
      <c r="W26" s="100"/>
      <c r="X26" s="138"/>
      <c r="Y26" s="138"/>
      <c r="Z26" s="144"/>
      <c r="AA26" s="145">
        <f t="shared" si="6"/>
        <v>0</v>
      </c>
      <c r="AB26" s="101"/>
      <c r="AC26" s="100"/>
      <c r="AD26" s="138"/>
      <c r="AE26" s="138"/>
      <c r="AF26" s="144"/>
      <c r="AG26" s="145">
        <f t="shared" si="7"/>
        <v>0</v>
      </c>
      <c r="AH26" s="101"/>
      <c r="AI26" s="148">
        <f t="shared" si="8"/>
        <v>0</v>
      </c>
      <c r="AJ26" s="102">
        <f t="shared" si="1"/>
        <v>0</v>
      </c>
      <c r="AL26" s="87">
        <f t="shared" si="2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 activeCell="B1" sqref="B1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4.1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1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15" customHeight="1">
      <c r="A3" s="238" t="str">
        <f>CONCATENATE("MATCH DE QUALIFICATION"," - ",INFO!B7," - ",INFO!B9)</f>
        <v>MATCH DE QUALIFICATION - PISTOLET - AQUITAINE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1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ST LONS</v>
      </c>
      <c r="C7" s="153" t="str">
        <f>VLOOKUP(A7,saisie!B$7:AL$26,3,0)</f>
        <v>2.64.059</v>
      </c>
      <c r="D7" s="154" t="str">
        <f>VLOOKUP(A7,saisie!B$7:AL$26,4,0)</f>
        <v>PANTELEYEV KONSTANTIN</v>
      </c>
      <c r="E7" s="155">
        <f>VLOOKUP(A7,saisie!B$7:AL$26,5,0)</f>
        <v>96</v>
      </c>
      <c r="F7" s="155">
        <f>VLOOKUP(A7,saisie!B$7:AL$26,6,0)</f>
        <v>94</v>
      </c>
      <c r="G7" s="155">
        <f>VLOOKUP(A7,saisie!B$7:AL$26,7,0)</f>
        <v>95</v>
      </c>
      <c r="H7" s="156">
        <f>VLOOKUP(A7,saisie!B$7:AL$26,8,0)</f>
        <v>285</v>
      </c>
      <c r="I7" s="157">
        <f>VLOOKUP(A7,saisie!B$7:AL$26,9,0)</f>
        <v>0</v>
      </c>
      <c r="J7" s="154" t="str">
        <f>VLOOKUP(A7,saisie!B$7:AL$26,10,0)</f>
        <v>DESTENAVE JEAN-FRANCOIS</v>
      </c>
      <c r="K7" s="155">
        <f>VLOOKUP(A7,saisie!B$7:AL$26,11,0)</f>
        <v>95</v>
      </c>
      <c r="L7" s="155">
        <f>VLOOKUP(A7,saisie!B$7:AL$26,12,0)</f>
        <v>89</v>
      </c>
      <c r="M7" s="155">
        <f>VLOOKUP(A7,saisie!B$7:AL$26,13,0)</f>
        <v>87</v>
      </c>
      <c r="N7" s="156">
        <f>VLOOKUP(A7,saisie!B$7:AL$26,14,0)</f>
        <v>271</v>
      </c>
      <c r="O7" s="157">
        <f>VLOOKUP(A7,saisie!B$7:AL$26,15,0)</f>
        <v>0</v>
      </c>
      <c r="P7" s="154" t="str">
        <f>VLOOKUP(A7,saisie!B$7:AL$26,16,0)</f>
        <v>PHAM CONGDUC</v>
      </c>
      <c r="Q7" s="155">
        <f>VLOOKUP(A7,saisie!B$7:AL$26,17,0)</f>
        <v>89</v>
      </c>
      <c r="R7" s="155">
        <f>VLOOKUP(A7,saisie!B$7:AL$26,18,0)</f>
        <v>90</v>
      </c>
      <c r="S7" s="155">
        <f>VLOOKUP(A7,saisie!B$7:AL$26,19,0)</f>
        <v>88</v>
      </c>
      <c r="T7" s="156">
        <f>VLOOKUP(A7,saisie!B$7:AL$26,20,0)</f>
        <v>267</v>
      </c>
      <c r="U7" s="157">
        <f>VLOOKUP(A7,saisie!B$7:AL$26,21,0)</f>
        <v>0</v>
      </c>
      <c r="V7" s="154" t="str">
        <f>VLOOKUP(A7,saisie!B$7:AL$26,22,0)</f>
        <v>LUX LAURENT</v>
      </c>
      <c r="W7" s="155">
        <f>VLOOKUP(A7,saisie!B$7:AL$26,23,0)</f>
        <v>91</v>
      </c>
      <c r="X7" s="155">
        <f>VLOOKUP(A7,saisie!B$7:AL$26,24,0)</f>
        <v>87</v>
      </c>
      <c r="Y7" s="155">
        <f>VLOOKUP(A7,saisie!B$7:AL$26,25,0)</f>
        <v>92</v>
      </c>
      <c r="Z7" s="156">
        <f>VLOOKUP(A7,saisie!B$7:AL$26,26,0)</f>
        <v>270</v>
      </c>
      <c r="AA7" s="157">
        <f>VLOOKUP(A7,saisie!B$7:AL$26,27,0)</f>
        <v>0</v>
      </c>
      <c r="AB7" s="154" t="str">
        <f>VLOOKUP(A7,saisie!B$7:AL$26,28,0)</f>
        <v>BRENN MARJOLAINE</v>
      </c>
      <c r="AC7" s="155">
        <f>VLOOKUP(A7,saisie!B$7:AL$26,29,0)</f>
        <v>90</v>
      </c>
      <c r="AD7" s="155">
        <f>VLOOKUP(A7,saisie!B$7:AL$26,30,0)</f>
        <v>89</v>
      </c>
      <c r="AE7" s="155">
        <f>VLOOKUP(A7,saisie!B$7:AL$26,31,0)</f>
        <v>91</v>
      </c>
      <c r="AF7" s="156">
        <f>VLOOKUP(A7,saisie!B$7:AL$26,32,0)</f>
        <v>270</v>
      </c>
      <c r="AG7" s="157">
        <f>VLOOKUP(A7,saisie!B$7:AL$26,33,0)</f>
        <v>0</v>
      </c>
      <c r="AH7" s="151">
        <f>VLOOKUP(A7,saisie!B$7:AL$26,34,0)</f>
        <v>1363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FRANCS TIREURS DE MONT</v>
      </c>
      <c r="C8" s="153">
        <f>VLOOKUP(A8,saisie!B$7:AL$26,3,0)</f>
        <v>264062</v>
      </c>
      <c r="D8" s="154" t="str">
        <f>VLOOKUP(A8,saisie!B$7:AL$26,4,0)</f>
        <v>WALKER MELANIE</v>
      </c>
      <c r="E8" s="155">
        <f>VLOOKUP(A8,saisie!B$7:AL$26,5,0)</f>
        <v>93</v>
      </c>
      <c r="F8" s="155">
        <f>VLOOKUP(A8,saisie!B$7:AL$26,6,0)</f>
        <v>88</v>
      </c>
      <c r="G8" s="155">
        <f>VLOOKUP(A8,saisie!B$7:AL$26,7,0)</f>
        <v>85</v>
      </c>
      <c r="H8" s="156">
        <f>VLOOKUP(A8,saisie!B$7:AL$26,8,0)</f>
        <v>266</v>
      </c>
      <c r="I8" s="157">
        <f>VLOOKUP(A8,saisie!B$7:AL$26,9,0)</f>
        <v>0</v>
      </c>
      <c r="J8" s="154" t="str">
        <f>VLOOKUP(A8,saisie!B$7:AL$26,10,0)</f>
        <v>LATOUR LAURENT</v>
      </c>
      <c r="K8" s="155">
        <f>VLOOKUP(A8,saisie!B$7:AL$26,11,0)</f>
        <v>84</v>
      </c>
      <c r="L8" s="155">
        <f>VLOOKUP(A8,saisie!B$7:AL$26,12,0)</f>
        <v>85</v>
      </c>
      <c r="M8" s="155">
        <f>VLOOKUP(A8,saisie!B$7:AL$26,13,0)</f>
        <v>92</v>
      </c>
      <c r="N8" s="156">
        <f>VLOOKUP(A8,saisie!B$7:AL$26,14,0)</f>
        <v>261</v>
      </c>
      <c r="O8" s="157">
        <f>VLOOKUP(A8,saisie!B$7:AL$26,15,0)</f>
        <v>0</v>
      </c>
      <c r="P8" s="154" t="str">
        <f>VLOOKUP(A8,saisie!B$7:AL$26,16,0)</f>
        <v>LAFARGUE YOANN</v>
      </c>
      <c r="Q8" s="155">
        <f>VLOOKUP(A8,saisie!B$7:AL$26,17,0)</f>
        <v>83</v>
      </c>
      <c r="R8" s="155">
        <f>VLOOKUP(A8,saisie!B$7:AL$26,18,0)</f>
        <v>83</v>
      </c>
      <c r="S8" s="155">
        <f>VLOOKUP(A8,saisie!B$7:AL$26,19,0)</f>
        <v>88</v>
      </c>
      <c r="T8" s="156">
        <f>VLOOKUP(A8,saisie!B$7:AL$26,20,0)</f>
        <v>254</v>
      </c>
      <c r="U8" s="157">
        <f>VLOOKUP(A8,saisie!B$7:AL$26,21,0)</f>
        <v>0</v>
      </c>
      <c r="V8" s="154" t="str">
        <f>VLOOKUP(A8,saisie!B$7:AL$26,22,0)</f>
        <v>GOBIN MAXIME</v>
      </c>
      <c r="W8" s="155">
        <f>VLOOKUP(A8,saisie!B$7:AL$26,23,0)</f>
        <v>86</v>
      </c>
      <c r="X8" s="155">
        <f>VLOOKUP(A8,saisie!B$7:AL$26,24,0)</f>
        <v>88</v>
      </c>
      <c r="Y8" s="155">
        <f>VLOOKUP(A8,saisie!B$7:AL$26,25,0)</f>
        <v>87</v>
      </c>
      <c r="Z8" s="156">
        <f>VLOOKUP(A8,saisie!B$7:AL$26,26,0)</f>
        <v>261</v>
      </c>
      <c r="AA8" s="157">
        <f>VLOOKUP(A8,saisie!B$7:AL$26,27,0)</f>
        <v>0</v>
      </c>
      <c r="AB8" s="154" t="str">
        <f>VLOOKUP(A8,saisie!B$7:AL$26,28,0)</f>
        <v>PETIT SEBASTIEN</v>
      </c>
      <c r="AC8" s="155">
        <f>VLOOKUP(A8,saisie!B$7:AL$26,29,0)</f>
        <v>97</v>
      </c>
      <c r="AD8" s="155">
        <f>VLOOKUP(A8,saisie!B$7:AL$26,30,0)</f>
        <v>90</v>
      </c>
      <c r="AE8" s="155">
        <f>VLOOKUP(A8,saisie!B$7:AL$26,31,0)</f>
        <v>95</v>
      </c>
      <c r="AF8" s="156">
        <f>VLOOKUP(A8,saisie!B$7:AL$26,32,0)</f>
        <v>282</v>
      </c>
      <c r="AG8" s="157">
        <f>VLOOKUP(A8,saisie!B$7:AL$26,33,0)</f>
        <v>0</v>
      </c>
      <c r="AH8" s="151">
        <f>VLOOKUP(A8,saisie!B$7:AL$26,34,0)</f>
        <v>1324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PAS DE TIR VERT GALANT</v>
      </c>
      <c r="C9" s="153">
        <f>VLOOKUP(A9,saisie!B$7:AL$26,3,0)</f>
        <v>264302</v>
      </c>
      <c r="D9" s="154" t="str">
        <f>VLOOKUP(A9,saisie!B$7:AL$26,4,0)</f>
        <v>AMATI Christophe</v>
      </c>
      <c r="E9" s="155">
        <f>VLOOKUP(A9,saisie!B$7:AL$26,5,0)</f>
        <v>84</v>
      </c>
      <c r="F9" s="155">
        <f>VLOOKUP(A9,saisie!B$7:AL$26,6,0)</f>
        <v>79</v>
      </c>
      <c r="G9" s="155">
        <f>VLOOKUP(A9,saisie!B$7:AL$26,7,0)</f>
        <v>90</v>
      </c>
      <c r="H9" s="156">
        <f>VLOOKUP(A9,saisie!B$7:AL$26,8,0)</f>
        <v>253</v>
      </c>
      <c r="I9" s="157">
        <f>VLOOKUP(A9,saisie!B$7:AL$26,9,0)</f>
        <v>0</v>
      </c>
      <c r="J9" s="154" t="str">
        <f>VLOOKUP(A9,saisie!B$7:AL$26,10,0)</f>
        <v>BACHACOU Romain</v>
      </c>
      <c r="K9" s="155">
        <f>VLOOKUP(A9,saisie!B$7:AL$26,11,0)</f>
        <v>90</v>
      </c>
      <c r="L9" s="155">
        <f>VLOOKUP(A9,saisie!B$7:AL$26,12,0)</f>
        <v>87</v>
      </c>
      <c r="M9" s="155">
        <f>VLOOKUP(A9,saisie!B$7:AL$26,13,0)</f>
        <v>80</v>
      </c>
      <c r="N9" s="156">
        <f>VLOOKUP(A9,saisie!B$7:AL$26,14,0)</f>
        <v>257</v>
      </c>
      <c r="O9" s="157">
        <f>VLOOKUP(A9,saisie!B$7:AL$26,15,0)</f>
        <v>0</v>
      </c>
      <c r="P9" s="154" t="str">
        <f>VLOOKUP(A9,saisie!B$7:AL$26,16,0)</f>
        <v>BAJU Jean Robert</v>
      </c>
      <c r="Q9" s="155">
        <f>VLOOKUP(A9,saisie!B$7:AL$26,17,0)</f>
        <v>92</v>
      </c>
      <c r="R9" s="155">
        <f>VLOOKUP(A9,saisie!B$7:AL$26,18,0)</f>
        <v>84</v>
      </c>
      <c r="S9" s="155">
        <f>VLOOKUP(A9,saisie!B$7:AL$26,19,0)</f>
        <v>86</v>
      </c>
      <c r="T9" s="156">
        <f>VLOOKUP(A9,saisie!B$7:AL$26,20,0)</f>
        <v>262</v>
      </c>
      <c r="U9" s="157">
        <f>VLOOKUP(A9,saisie!B$7:AL$26,21,0)</f>
        <v>0</v>
      </c>
      <c r="V9" s="154" t="str">
        <f>VLOOKUP(A9,saisie!B$7:AL$26,22,0)</f>
        <v>SUCERE Marie</v>
      </c>
      <c r="W9" s="155">
        <f>VLOOKUP(A9,saisie!B$7:AL$26,23,0)</f>
        <v>92</v>
      </c>
      <c r="X9" s="155">
        <f>VLOOKUP(A9,saisie!B$7:AL$26,24,0)</f>
        <v>95</v>
      </c>
      <c r="Y9" s="155">
        <f>VLOOKUP(A9,saisie!B$7:AL$26,25,0)</f>
        <v>90</v>
      </c>
      <c r="Z9" s="156">
        <f>VLOOKUP(A9,saisie!B$7:AL$26,26,0)</f>
        <v>277</v>
      </c>
      <c r="AA9" s="157">
        <f>VLOOKUP(A9,saisie!B$7:AL$26,27,0)</f>
        <v>0</v>
      </c>
      <c r="AB9" s="154" t="str">
        <f>VLOOKUP(A9,saisie!B$7:AL$26,28,0)</f>
        <v>CWERNER Benoit</v>
      </c>
      <c r="AC9" s="155">
        <f>VLOOKUP(A9,saisie!B$7:AL$26,29,0)</f>
        <v>90</v>
      </c>
      <c r="AD9" s="155">
        <f>VLOOKUP(A9,saisie!B$7:AL$26,30,0)</f>
        <v>94</v>
      </c>
      <c r="AE9" s="155">
        <f>VLOOKUP(A9,saisie!B$7:AL$26,31,0)</f>
        <v>91</v>
      </c>
      <c r="AF9" s="156">
        <f>VLOOKUP(A9,saisie!B$7:AL$26,32,0)</f>
        <v>275</v>
      </c>
      <c r="AG9" s="157">
        <f>VLOOKUP(A9,saisie!B$7:AL$26,33,0)</f>
        <v>0</v>
      </c>
      <c r="AH9" s="151">
        <f>VLOOKUP(A9,saisie!B$7:AL$26,34,0)</f>
        <v>1324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ST CIBOURE 1</v>
      </c>
      <c r="C10" s="153">
        <f>VLOOKUP(A10,saisie!B$7:AL$26,3,0)</f>
        <v>264120</v>
      </c>
      <c r="D10" s="154" t="str">
        <f>VLOOKUP(A10,saisie!B$7:AL$26,4,0)</f>
        <v>ACHOTEGUI RICHARD</v>
      </c>
      <c r="E10" s="155">
        <f>VLOOKUP(A10,saisie!B$7:AL$26,5,0)</f>
        <v>86</v>
      </c>
      <c r="F10" s="155">
        <f>VLOOKUP(A10,saisie!B$7:AL$26,6,0)</f>
        <v>83</v>
      </c>
      <c r="G10" s="155">
        <f>VLOOKUP(A10,saisie!B$7:AL$26,7,0)</f>
        <v>84</v>
      </c>
      <c r="H10" s="156">
        <f>VLOOKUP(A10,saisie!B$7:AL$26,8,0)</f>
        <v>253</v>
      </c>
      <c r="I10" s="157">
        <f>VLOOKUP(A10,saisie!B$7:AL$26,9,0)</f>
        <v>0</v>
      </c>
      <c r="J10" s="154" t="str">
        <f>VLOOKUP(A10,saisie!B$7:AL$26,10,0)</f>
        <v>PARNAUD MICHAEL</v>
      </c>
      <c r="K10" s="155">
        <f>VLOOKUP(A10,saisie!B$7:AL$26,11,0)</f>
        <v>87</v>
      </c>
      <c r="L10" s="155">
        <f>VLOOKUP(A10,saisie!B$7:AL$26,12,0)</f>
        <v>86</v>
      </c>
      <c r="M10" s="155">
        <f>VLOOKUP(A10,saisie!B$7:AL$26,13,0)</f>
        <v>90</v>
      </c>
      <c r="N10" s="156">
        <f>VLOOKUP(A10,saisie!B$7:AL$26,14,0)</f>
        <v>263</v>
      </c>
      <c r="O10" s="157">
        <f>VLOOKUP(A10,saisie!B$7:AL$26,15,0)</f>
        <v>0</v>
      </c>
      <c r="P10" s="154" t="str">
        <f>VLOOKUP(A10,saisie!B$7:AL$26,16,0)</f>
        <v>ROUQUETTE JEAN LOUIS</v>
      </c>
      <c r="Q10" s="155">
        <f>VLOOKUP(A10,saisie!B$7:AL$26,17,0)</f>
        <v>92</v>
      </c>
      <c r="R10" s="155">
        <f>VLOOKUP(A10,saisie!B$7:AL$26,18,0)</f>
        <v>81</v>
      </c>
      <c r="S10" s="155">
        <f>VLOOKUP(A10,saisie!B$7:AL$26,19,0)</f>
        <v>88</v>
      </c>
      <c r="T10" s="156">
        <f>VLOOKUP(A10,saisie!B$7:AL$26,20,0)</f>
        <v>261</v>
      </c>
      <c r="U10" s="157">
        <f>VLOOKUP(A10,saisie!B$7:AL$26,21,0)</f>
        <v>0</v>
      </c>
      <c r="V10" s="154" t="str">
        <f>VLOOKUP(A10,saisie!B$7:AL$26,22,0)</f>
        <v>MEURTIN VINCENT</v>
      </c>
      <c r="W10" s="155">
        <f>VLOOKUP(A10,saisie!B$7:AL$26,23,0)</f>
        <v>89</v>
      </c>
      <c r="X10" s="155">
        <f>VLOOKUP(A10,saisie!B$7:AL$26,24,0)</f>
        <v>92</v>
      </c>
      <c r="Y10" s="155">
        <f>VLOOKUP(A10,saisie!B$7:AL$26,25,0)</f>
        <v>91</v>
      </c>
      <c r="Z10" s="156">
        <f>VLOOKUP(A10,saisie!B$7:AL$26,26,0)</f>
        <v>272</v>
      </c>
      <c r="AA10" s="157">
        <f>VLOOKUP(A10,saisie!B$7:AL$26,27,0)</f>
        <v>0</v>
      </c>
      <c r="AB10" s="154" t="str">
        <f>VLOOKUP(A10,saisie!B$7:AL$26,28,0)</f>
        <v>KEOKINNALY HANSAY</v>
      </c>
      <c r="AC10" s="155">
        <f>VLOOKUP(A10,saisie!B$7:AL$26,29,0)</f>
        <v>89</v>
      </c>
      <c r="AD10" s="155">
        <f>VLOOKUP(A10,saisie!B$7:AL$26,30,0)</f>
        <v>93</v>
      </c>
      <c r="AE10" s="155">
        <f>VLOOKUP(A10,saisie!B$7:AL$26,31,0)</f>
        <v>86</v>
      </c>
      <c r="AF10" s="156">
        <f>VLOOKUP(A10,saisie!B$7:AL$26,32,0)</f>
        <v>268</v>
      </c>
      <c r="AG10" s="157">
        <f>VLOOKUP(A10,saisie!B$7:AL$26,33,0)</f>
        <v>0</v>
      </c>
      <c r="AH10" s="151">
        <f>VLOOKUP(A10,saisie!B$7:AL$26,34,0)</f>
        <v>1317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ST CIBOURE 2</v>
      </c>
      <c r="C11" s="153">
        <f>VLOOKUP(A11,saisie!B$7:AL$26,3,0)</f>
        <v>264120</v>
      </c>
      <c r="D11" s="154" t="str">
        <f>VLOOKUP(A11,saisie!B$7:AL$26,4,0)</f>
        <v>ALFONSO ERMINIA</v>
      </c>
      <c r="E11" s="155">
        <f>VLOOKUP(A11,saisie!B$7:AL$26,5,0)</f>
        <v>80</v>
      </c>
      <c r="F11" s="155">
        <f>VLOOKUP(A11,saisie!B$7:AL$26,6,0)</f>
        <v>84</v>
      </c>
      <c r="G11" s="155">
        <f>VLOOKUP(A11,saisie!B$7:AL$26,7,0)</f>
        <v>82</v>
      </c>
      <c r="H11" s="156">
        <f>VLOOKUP(A11,saisie!B$7:AL$26,8,0)</f>
        <v>246</v>
      </c>
      <c r="I11" s="157">
        <f>VLOOKUP(A11,saisie!B$7:AL$26,9,0)</f>
        <v>0</v>
      </c>
      <c r="J11" s="154" t="str">
        <f>VLOOKUP(A11,saisie!B$7:AL$26,10,0)</f>
        <v>GARIVET PATRICK</v>
      </c>
      <c r="K11" s="155">
        <f>VLOOKUP(A11,saisie!B$7:AL$26,11,0)</f>
        <v>85</v>
      </c>
      <c r="L11" s="155">
        <f>VLOOKUP(A11,saisie!B$7:AL$26,12,0)</f>
        <v>77</v>
      </c>
      <c r="M11" s="155">
        <f>VLOOKUP(A11,saisie!B$7:AL$26,13,0)</f>
        <v>80</v>
      </c>
      <c r="N11" s="156">
        <f>VLOOKUP(A11,saisie!B$7:AL$26,14,0)</f>
        <v>242</v>
      </c>
      <c r="O11" s="157">
        <f>VLOOKUP(A11,saisie!B$7:AL$26,15,0)</f>
        <v>0</v>
      </c>
      <c r="P11" s="154" t="str">
        <f>VLOOKUP(A11,saisie!B$7:AL$26,16,0)</f>
        <v>SIERRA PIERRE</v>
      </c>
      <c r="Q11" s="155">
        <f>VLOOKUP(A11,saisie!B$7:AL$26,17,0)</f>
        <v>81</v>
      </c>
      <c r="R11" s="155">
        <f>VLOOKUP(A11,saisie!B$7:AL$26,18,0)</f>
        <v>90</v>
      </c>
      <c r="S11" s="155">
        <f>VLOOKUP(A11,saisie!B$7:AL$26,19,0)</f>
        <v>87</v>
      </c>
      <c r="T11" s="156">
        <f>VLOOKUP(A11,saisie!B$7:AL$26,20,0)</f>
        <v>258</v>
      </c>
      <c r="U11" s="157">
        <f>VLOOKUP(A11,saisie!B$7:AL$26,21,0)</f>
        <v>0</v>
      </c>
      <c r="V11" s="154" t="str">
        <f>VLOOKUP(A11,saisie!B$7:AL$26,22,0)</f>
        <v>ROSSARD JULIEN</v>
      </c>
      <c r="W11" s="155">
        <f>VLOOKUP(A11,saisie!B$7:AL$26,23,0)</f>
        <v>88</v>
      </c>
      <c r="X11" s="155">
        <f>VLOOKUP(A11,saisie!B$7:AL$26,24,0)</f>
        <v>82</v>
      </c>
      <c r="Y11" s="155">
        <f>VLOOKUP(A11,saisie!B$7:AL$26,25,0)</f>
        <v>89</v>
      </c>
      <c r="Z11" s="156">
        <f>VLOOKUP(A11,saisie!B$7:AL$26,26,0)</f>
        <v>259</v>
      </c>
      <c r="AA11" s="157">
        <f>VLOOKUP(A11,saisie!B$7:AL$26,27,0)</f>
        <v>0</v>
      </c>
      <c r="AB11" s="154" t="str">
        <f>VLOOKUP(A11,saisie!B$7:AL$26,28,0)</f>
        <v>HARAN BRUNO</v>
      </c>
      <c r="AC11" s="155">
        <f>VLOOKUP(A11,saisie!B$7:AL$26,29,0)</f>
        <v>76</v>
      </c>
      <c r="AD11" s="155">
        <f>VLOOKUP(A11,saisie!B$7:AL$26,30,0)</f>
        <v>85</v>
      </c>
      <c r="AE11" s="155">
        <f>VLOOKUP(A11,saisie!B$7:AL$26,31,0)</f>
        <v>86</v>
      </c>
      <c r="AF11" s="156">
        <f>VLOOKUP(A11,saisie!B$7:AL$26,32,0)</f>
        <v>247</v>
      </c>
      <c r="AG11" s="157">
        <f>VLOOKUP(A11,saisie!B$7:AL$26,33,0)</f>
        <v>0</v>
      </c>
      <c r="AH11" s="151">
        <f>VLOOKUP(A11,saisie!B$7:AL$26,34,0)</f>
        <v>1252</v>
      </c>
      <c r="AI11" s="158">
        <f>VLOOKUP(A11,saisie!B$7:AL$26,35,0)</f>
        <v>0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1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1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1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1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1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1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1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1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1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1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1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1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1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1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1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1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1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1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1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1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2.15" customHeight="1">
      <c r="A1" s="51"/>
      <c r="B1" s="52" t="s">
        <v>14</v>
      </c>
      <c r="C1" s="51" t="str">
        <f>'M Q'!B7</f>
        <v>ST LONS</v>
      </c>
      <c r="D1" s="51"/>
      <c r="E1" s="51"/>
      <c r="F1" s="51">
        <f>'M Q'!AH7</f>
        <v>1363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1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15" customHeight="1">
      <c r="A3" s="54">
        <f>F3+0.0001*G3+0.0000001*E3+0.0000000001*D3</f>
        <v>285.0000095094</v>
      </c>
      <c r="B3" s="52" t="str">
        <f>'M Q'!D7</f>
        <v>PANTELEYEV KONSTANTIN</v>
      </c>
      <c r="C3" s="51">
        <f>'M Q'!E7</f>
        <v>96</v>
      </c>
      <c r="D3" s="51">
        <f>'M Q'!F7</f>
        <v>94</v>
      </c>
      <c r="E3" s="51">
        <f>'M Q'!G7</f>
        <v>95</v>
      </c>
      <c r="F3" s="51">
        <f>'M Q'!H7</f>
        <v>285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15" customHeight="1">
      <c r="A4" s="54">
        <f>F4+0.0001*G4+0.0000001*E4+0.0000000001*D4</f>
        <v>271.0000087089</v>
      </c>
      <c r="B4" s="52" t="str">
        <f>'M Q'!J7</f>
        <v>DESTENAVE JEAN-FRANCOIS</v>
      </c>
      <c r="C4" s="51">
        <f>'M Q'!K7</f>
        <v>95</v>
      </c>
      <c r="D4" s="51">
        <f>'M Q'!L7</f>
        <v>89</v>
      </c>
      <c r="E4" s="51">
        <f>'M Q'!M7</f>
        <v>87</v>
      </c>
      <c r="F4" s="51">
        <f>'M Q'!N7</f>
        <v>271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15" customHeight="1">
      <c r="A5" s="54">
        <f>F5+0.0001*G5+0.0000001*E5+0.0000000001*D5</f>
        <v>267.00000880900001</v>
      </c>
      <c r="B5" s="52" t="str">
        <f>'M Q'!P7</f>
        <v>PHAM CONGDUC</v>
      </c>
      <c r="C5" s="51">
        <f>'M Q'!Q7</f>
        <v>89</v>
      </c>
      <c r="D5" s="51">
        <f>'M Q'!R7</f>
        <v>90</v>
      </c>
      <c r="E5" s="51">
        <f>'M Q'!S7</f>
        <v>88</v>
      </c>
      <c r="F5" s="51">
        <f>'M Q'!T7</f>
        <v>267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15" customHeight="1">
      <c r="A6" s="54">
        <f>F6+0.0001*G6+0.0000001*E6+0.0000000001*D6</f>
        <v>270.00000920870002</v>
      </c>
      <c r="B6" s="52" t="str">
        <f>'M Q'!V7</f>
        <v>LUX LAURENT</v>
      </c>
      <c r="C6" s="51">
        <f>'M Q'!W7</f>
        <v>91</v>
      </c>
      <c r="D6" s="51">
        <f>'M Q'!X7</f>
        <v>87</v>
      </c>
      <c r="E6" s="51">
        <f>'M Q'!Y7</f>
        <v>92</v>
      </c>
      <c r="F6" s="51">
        <f>'M Q'!Z7</f>
        <v>270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15" customHeight="1">
      <c r="A7" s="54">
        <f>F7+0.0001*G7+0.0000001*E7+0.0000000001*D7</f>
        <v>270.00000910889997</v>
      </c>
      <c r="B7" s="52" t="str">
        <f>'M Q'!AB7</f>
        <v>BRENN MARJOLAINE</v>
      </c>
      <c r="C7" s="51">
        <f>'M Q'!AC7</f>
        <v>90</v>
      </c>
      <c r="D7" s="51">
        <f>'M Q'!AD7</f>
        <v>89</v>
      </c>
      <c r="E7" s="51">
        <f>'M Q'!AE7</f>
        <v>91</v>
      </c>
      <c r="F7" s="51">
        <f>'M Q'!AF7</f>
        <v>270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1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15" customHeight="1">
      <c r="A9" s="51"/>
      <c r="B9" s="52" t="s">
        <v>37</v>
      </c>
      <c r="C9" s="52" t="str">
        <f>'M Q'!B8</f>
        <v>FRANCS TIREURS DE MONT</v>
      </c>
      <c r="D9" s="52"/>
      <c r="E9" s="52"/>
      <c r="F9" s="51">
        <f>'M Q'!AH8</f>
        <v>1324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1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15" customHeight="1">
      <c r="A11" s="54">
        <f>F11+0.0001*G11+0.0000001*E11+0.0000000001*D11</f>
        <v>266.00000850879997</v>
      </c>
      <c r="B11" s="52" t="str">
        <f>'M Q'!D8</f>
        <v>WALKER MELANIE</v>
      </c>
      <c r="C11" s="51">
        <f>'M Q'!E8</f>
        <v>93</v>
      </c>
      <c r="D11" s="51">
        <f>'M Q'!F8</f>
        <v>88</v>
      </c>
      <c r="E11" s="51">
        <f>'M Q'!G8</f>
        <v>85</v>
      </c>
      <c r="F11" s="51">
        <f>'M Q'!H8</f>
        <v>266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15" customHeight="1">
      <c r="A12" s="54">
        <f>F12+0.0001*G12+0.0000001*E12+0.0000000001*D12</f>
        <v>261.00000920850005</v>
      </c>
      <c r="B12" s="52" t="str">
        <f>'M Q'!J8</f>
        <v>LATOUR LAURENT</v>
      </c>
      <c r="C12" s="51">
        <f>'M Q'!K8</f>
        <v>84</v>
      </c>
      <c r="D12" s="51">
        <f>'M Q'!L8</f>
        <v>85</v>
      </c>
      <c r="E12" s="51">
        <f>'M Q'!M8</f>
        <v>92</v>
      </c>
      <c r="F12" s="51">
        <f>'M Q'!N8</f>
        <v>261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15" customHeight="1">
      <c r="A13" s="54">
        <f>F13+0.0001*G13+0.0000001*E13+0.0000000001*D13</f>
        <v>254.00000880829998</v>
      </c>
      <c r="B13" s="52" t="str">
        <f>'M Q'!P8</f>
        <v>LAFARGUE YOANN</v>
      </c>
      <c r="C13" s="51">
        <f>'M Q'!Q8</f>
        <v>83</v>
      </c>
      <c r="D13" s="51">
        <f>'M Q'!R8</f>
        <v>83</v>
      </c>
      <c r="E13" s="51">
        <f>'M Q'!S8</f>
        <v>88</v>
      </c>
      <c r="F13" s="51">
        <f>'M Q'!T8</f>
        <v>254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15" customHeight="1">
      <c r="A14" s="54">
        <f>F14+0.0001*G14+0.0000001*E14+0.0000000001*D14</f>
        <v>261.00000870880001</v>
      </c>
      <c r="B14" s="52" t="str">
        <f>'M Q'!V8</f>
        <v>GOBIN MAXIME</v>
      </c>
      <c r="C14" s="51">
        <f>'M Q'!W8</f>
        <v>86</v>
      </c>
      <c r="D14" s="51">
        <f>'M Q'!X8</f>
        <v>88</v>
      </c>
      <c r="E14" s="51">
        <f>'M Q'!Y8</f>
        <v>87</v>
      </c>
      <c r="F14" s="51">
        <f>'M Q'!Z8</f>
        <v>261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15" customHeight="1">
      <c r="A15" s="54">
        <f>F15+0.0001*G15+0.0000001*E15+0.0000000001*D15</f>
        <v>282.00000950899999</v>
      </c>
      <c r="B15" s="52" t="str">
        <f>'M Q'!AB8</f>
        <v>PETIT SEBASTIEN</v>
      </c>
      <c r="C15" s="51">
        <f>'M Q'!AC8</f>
        <v>97</v>
      </c>
      <c r="D15" s="51">
        <f>'M Q'!AD8</f>
        <v>90</v>
      </c>
      <c r="E15" s="51">
        <f>'M Q'!AE8</f>
        <v>95</v>
      </c>
      <c r="F15" s="51">
        <f>'M Q'!AF8</f>
        <v>282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1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15" customHeight="1">
      <c r="A17" s="51"/>
      <c r="B17" s="52" t="str">
        <f>IF(INFO!B8&gt;2,"CLUB N°3","")</f>
        <v>CLUB N°3</v>
      </c>
      <c r="C17" s="52" t="str">
        <f>'M Q'!B9</f>
        <v>PAS DE TIR VERT GALANT</v>
      </c>
      <c r="D17" s="52"/>
      <c r="E17" s="52"/>
      <c r="F17" s="51">
        <f>'M Q'!AH9</f>
        <v>1324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1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15" customHeight="1">
      <c r="A19" s="55">
        <f>F19+0.0001*G19+0.0000001*E19+0.0000000001*D19</f>
        <v>253.00000900790002</v>
      </c>
      <c r="B19" s="52" t="str">
        <f>'M Q'!D9</f>
        <v>AMATI Christophe</v>
      </c>
      <c r="C19" s="51">
        <f>'M Q'!E9</f>
        <v>84</v>
      </c>
      <c r="D19" s="51">
        <f>'M Q'!F9</f>
        <v>79</v>
      </c>
      <c r="E19" s="51">
        <f>'M Q'!G9</f>
        <v>90</v>
      </c>
      <c r="F19" s="51">
        <f>'M Q'!H9</f>
        <v>253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15" customHeight="1">
      <c r="A20" s="55">
        <f>F20+0.0001*G20+0.0000001*E20+0.0000000001*D20</f>
        <v>257.00000800869998</v>
      </c>
      <c r="B20" s="52" t="str">
        <f>'M Q'!J9</f>
        <v>BACHACOU Romain</v>
      </c>
      <c r="C20" s="51">
        <f>'M Q'!K9</f>
        <v>90</v>
      </c>
      <c r="D20" s="51">
        <f>'M Q'!L9</f>
        <v>87</v>
      </c>
      <c r="E20" s="51">
        <f>'M Q'!M9</f>
        <v>80</v>
      </c>
      <c r="F20" s="51">
        <f>'M Q'!N9</f>
        <v>257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15" customHeight="1">
      <c r="A21" s="55">
        <f>F21+0.0001*G21+0.0000001*E21+0.0000000001*D21</f>
        <v>262.00000860839998</v>
      </c>
      <c r="B21" s="52" t="str">
        <f>'M Q'!P9</f>
        <v>BAJU Jean Robert</v>
      </c>
      <c r="C21" s="51">
        <f>'M Q'!Q9</f>
        <v>92</v>
      </c>
      <c r="D21" s="51">
        <f>'M Q'!R9</f>
        <v>84</v>
      </c>
      <c r="E21" s="51">
        <f>'M Q'!S9</f>
        <v>86</v>
      </c>
      <c r="F21" s="51">
        <f>'M Q'!T9</f>
        <v>262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15" customHeight="1">
      <c r="A22" s="55">
        <f>F22+0.0001*G22+0.0000001*E22+0.0000000001*D22</f>
        <v>277.00000900949999</v>
      </c>
      <c r="B22" s="52" t="str">
        <f>'M Q'!V9</f>
        <v>SUCERE Marie</v>
      </c>
      <c r="C22" s="51">
        <f>'M Q'!W9</f>
        <v>92</v>
      </c>
      <c r="D22" s="51">
        <f>'M Q'!X9</f>
        <v>95</v>
      </c>
      <c r="E22" s="51">
        <f>'M Q'!Y9</f>
        <v>90</v>
      </c>
      <c r="F22" s="51">
        <f>'M Q'!Z9</f>
        <v>277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15" customHeight="1">
      <c r="A23" s="55">
        <f>F23+0.0001*G23+0.0000001*E23+0.0000000001*D23</f>
        <v>275.00000910940003</v>
      </c>
      <c r="B23" s="52" t="str">
        <f>'M Q'!AB9</f>
        <v>CWERNER Benoit</v>
      </c>
      <c r="C23" s="51">
        <f>'M Q'!AC9</f>
        <v>90</v>
      </c>
      <c r="D23" s="51">
        <f>'M Q'!AD9</f>
        <v>94</v>
      </c>
      <c r="E23" s="51">
        <f>'M Q'!AE9</f>
        <v>91</v>
      </c>
      <c r="F23" s="51">
        <f>'M Q'!AF9</f>
        <v>275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1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15" customHeight="1">
      <c r="A25" s="51"/>
      <c r="B25" s="52" t="str">
        <f>IF(INFO!B8&gt;3,"CLUB N°4","")</f>
        <v>CLUB N°4</v>
      </c>
      <c r="C25" s="52" t="str">
        <f>'M Q'!B10</f>
        <v>ST CIBOURE 1</v>
      </c>
      <c r="D25" s="52"/>
      <c r="E25" s="52"/>
      <c r="F25" s="51">
        <f>'M Q'!AH10</f>
        <v>1317</v>
      </c>
      <c r="G25" s="51"/>
      <c r="H25" s="12"/>
      <c r="I25" s="51"/>
      <c r="J25" s="52" t="str">
        <f>IF(INFO!B8&gt;4,"CLUB N°5","")</f>
        <v>CLUB N°5</v>
      </c>
      <c r="K25" s="52" t="str">
        <f>'M Q'!B11</f>
        <v>ST CIBOURE 2</v>
      </c>
      <c r="L25" s="52"/>
      <c r="M25" s="52"/>
      <c r="N25" s="51">
        <f>'M Q'!AH11</f>
        <v>1252</v>
      </c>
      <c r="O25" s="52"/>
    </row>
    <row r="26" spans="1:15" ht="22.1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15" customHeight="1">
      <c r="A27" s="54">
        <f>F27+0.0001*G27+0.0000001*E27+0.0000000001*D27</f>
        <v>253.0000084083</v>
      </c>
      <c r="B27" s="52" t="str">
        <f>'M Q'!D10</f>
        <v>ACHOTEGUI RICHARD</v>
      </c>
      <c r="C27" s="51">
        <f>'M Q'!E10</f>
        <v>86</v>
      </c>
      <c r="D27" s="51">
        <f>'M Q'!F10</f>
        <v>83</v>
      </c>
      <c r="E27" s="51">
        <f>'M Q'!G10</f>
        <v>84</v>
      </c>
      <c r="F27" s="51">
        <f>'M Q'!H10</f>
        <v>253</v>
      </c>
      <c r="G27" s="51">
        <f>'M Q'!I10</f>
        <v>0</v>
      </c>
      <c r="H27" s="12"/>
      <c r="I27" s="54">
        <f>N27+0.0001*O27+0.0000001*M27+0.0000000001*L27</f>
        <v>246.0000082084</v>
      </c>
      <c r="J27" s="52" t="str">
        <f>'M Q'!D11</f>
        <v>ALFONSO ERMINIA</v>
      </c>
      <c r="K27" s="52">
        <f>'M Q'!E11</f>
        <v>80</v>
      </c>
      <c r="L27" s="52">
        <f>'M Q'!F11</f>
        <v>84</v>
      </c>
      <c r="M27" s="52">
        <f>'M Q'!G11</f>
        <v>82</v>
      </c>
      <c r="N27" s="52">
        <f>'M Q'!H11</f>
        <v>246</v>
      </c>
      <c r="O27" s="52">
        <f>'M Q'!I11</f>
        <v>0</v>
      </c>
    </row>
    <row r="28" spans="1:15" ht="22.15" customHeight="1">
      <c r="A28" s="54">
        <f>F28+0.0001*G28+0.0000001*E28+0.0000000001*D28</f>
        <v>263.00000900859999</v>
      </c>
      <c r="B28" s="52" t="str">
        <f>'M Q'!J10</f>
        <v>PARNAUD MICHAEL</v>
      </c>
      <c r="C28" s="51">
        <f>'M Q'!K10</f>
        <v>87</v>
      </c>
      <c r="D28" s="51">
        <f>'M Q'!L10</f>
        <v>86</v>
      </c>
      <c r="E28" s="51">
        <f>'M Q'!M10</f>
        <v>90</v>
      </c>
      <c r="F28" s="51">
        <f>'M Q'!N10</f>
        <v>263</v>
      </c>
      <c r="G28" s="51">
        <f>'M Q'!O10</f>
        <v>0</v>
      </c>
      <c r="H28" s="12"/>
      <c r="I28" s="54">
        <f>N28+0.0001*O28+0.0000001*M28+0.0000000001*L28</f>
        <v>242.00000800770002</v>
      </c>
      <c r="J28" s="52" t="str">
        <f>'M Q'!J11</f>
        <v>GARIVET PATRICK</v>
      </c>
      <c r="K28" s="52">
        <f>'M Q'!K11</f>
        <v>85</v>
      </c>
      <c r="L28" s="52">
        <f>'M Q'!L11</f>
        <v>77</v>
      </c>
      <c r="M28" s="52">
        <f>'M Q'!M11</f>
        <v>80</v>
      </c>
      <c r="N28" s="52">
        <f>'M Q'!N11</f>
        <v>242</v>
      </c>
      <c r="O28" s="52">
        <f>'M Q'!O11</f>
        <v>0</v>
      </c>
    </row>
    <row r="29" spans="1:15" ht="22.15" customHeight="1">
      <c r="A29" s="54">
        <f>F29+0.0001*G29+0.0000001*E29+0.0000000001*D29</f>
        <v>261.00000880810001</v>
      </c>
      <c r="B29" s="52" t="str">
        <f>'M Q'!P10</f>
        <v>ROUQUETTE JEAN LOUIS</v>
      </c>
      <c r="C29" s="51">
        <f>'M Q'!Q10</f>
        <v>92</v>
      </c>
      <c r="D29" s="51">
        <f>'M Q'!R10</f>
        <v>81</v>
      </c>
      <c r="E29" s="51">
        <f>'M Q'!S10</f>
        <v>88</v>
      </c>
      <c r="F29" s="51">
        <f>'M Q'!T10</f>
        <v>261</v>
      </c>
      <c r="G29" s="51">
        <f>'M Q'!U10</f>
        <v>0</v>
      </c>
      <c r="H29" s="12"/>
      <c r="I29" s="54">
        <f>N29+0.0001*O29+0.0000001*M29+0.0000000001*L29</f>
        <v>258.00000870900004</v>
      </c>
      <c r="J29" s="52" t="str">
        <f>'M Q'!P11</f>
        <v>SIERRA PIERRE</v>
      </c>
      <c r="K29" s="52">
        <f>'M Q'!Q11</f>
        <v>81</v>
      </c>
      <c r="L29" s="52">
        <f>'M Q'!R11</f>
        <v>90</v>
      </c>
      <c r="M29" s="52">
        <f>'M Q'!S11</f>
        <v>87</v>
      </c>
      <c r="N29" s="52">
        <f>'M Q'!T11</f>
        <v>258</v>
      </c>
      <c r="O29" s="52">
        <f>'M Q'!U11</f>
        <v>0</v>
      </c>
    </row>
    <row r="30" spans="1:15" ht="22.15" customHeight="1">
      <c r="A30" s="54">
        <f>F30+0.0001*G30+0.0000001*E30+0.0000000001*D30</f>
        <v>272.00000910919999</v>
      </c>
      <c r="B30" s="52" t="str">
        <f>'M Q'!V10</f>
        <v>MEURTIN VINCENT</v>
      </c>
      <c r="C30" s="51">
        <f>'M Q'!W10</f>
        <v>89</v>
      </c>
      <c r="D30" s="51">
        <f>'M Q'!X10</f>
        <v>92</v>
      </c>
      <c r="E30" s="51">
        <f>'M Q'!Y10</f>
        <v>91</v>
      </c>
      <c r="F30" s="51">
        <f>'M Q'!Z10</f>
        <v>272</v>
      </c>
      <c r="G30" s="51">
        <f>'M Q'!AA10</f>
        <v>0</v>
      </c>
      <c r="H30" s="12"/>
      <c r="I30" s="54">
        <f>N30+0.0001*O30+0.0000001*M30+0.0000000001*L30</f>
        <v>259.00000890820002</v>
      </c>
      <c r="J30" s="52" t="str">
        <f>'M Q'!V11</f>
        <v>ROSSARD JULIEN</v>
      </c>
      <c r="K30" s="52">
        <f>'M Q'!W11</f>
        <v>88</v>
      </c>
      <c r="L30" s="52">
        <f>'M Q'!X11</f>
        <v>82</v>
      </c>
      <c r="M30" s="52">
        <f>'M Q'!Y11</f>
        <v>89</v>
      </c>
      <c r="N30" s="52">
        <f>'M Q'!Z11</f>
        <v>259</v>
      </c>
      <c r="O30" s="52">
        <f>'M Q'!AA11</f>
        <v>0</v>
      </c>
    </row>
    <row r="31" spans="1:15" ht="22.15" customHeight="1">
      <c r="A31" s="54">
        <f>F31+0.0001*G31+0.0000001*E31+0.0000000001*D31</f>
        <v>268.00000860929998</v>
      </c>
      <c r="B31" s="52" t="str">
        <f>'M Q'!AB10</f>
        <v>KEOKINNALY HANSAY</v>
      </c>
      <c r="C31" s="51">
        <f>'M Q'!AC10</f>
        <v>89</v>
      </c>
      <c r="D31" s="51">
        <f>'M Q'!AD10</f>
        <v>93</v>
      </c>
      <c r="E31" s="51">
        <f>'M Q'!AE10</f>
        <v>86</v>
      </c>
      <c r="F31" s="51">
        <f>'M Q'!AF10</f>
        <v>268</v>
      </c>
      <c r="G31" s="51">
        <f>'M Q'!AG10</f>
        <v>0</v>
      </c>
      <c r="H31" s="12"/>
      <c r="I31" s="54">
        <f>N31+0.0001*O31+0.0000001*M31+0.0000000001*L31</f>
        <v>247.0000086085</v>
      </c>
      <c r="J31" s="52" t="str">
        <f>'M Q'!AB11</f>
        <v>HARAN BRUNO</v>
      </c>
      <c r="K31" s="52">
        <f>'M Q'!AC11</f>
        <v>76</v>
      </c>
      <c r="L31" s="52">
        <f>'M Q'!AD11</f>
        <v>85</v>
      </c>
      <c r="M31" s="52">
        <f>'M Q'!AE11</f>
        <v>86</v>
      </c>
      <c r="N31" s="52">
        <f>'M Q'!AF11</f>
        <v>247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49.9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15" customHeight="1" thickBot="1">
      <c r="A2" s="12"/>
      <c r="B2" s="173" t="s">
        <v>14</v>
      </c>
      <c r="C2" s="253" t="str">
        <f>'Clb Q (2)'!C1</f>
        <v>ST LONS</v>
      </c>
      <c r="D2" s="254"/>
      <c r="E2" s="254"/>
      <c r="F2" s="174">
        <f>'Clb Q (2)'!F1</f>
        <v>1363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1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15" customHeight="1">
      <c r="A4" s="176"/>
      <c r="B4" s="180" t="str">
        <f>VLOOKUP(F4,'Clb Q (2)'!A$3:G$7,2,0)</f>
        <v>PANTELEYEV KONSTANTIN</v>
      </c>
      <c r="C4" s="181">
        <f>VLOOKUP(F4,'Clb Q (2)'!A$3:G$7,3,0)</f>
        <v>96</v>
      </c>
      <c r="D4" s="182">
        <f>VLOOKUP(F4,'Clb Q (2)'!A$3:G$7,4,0)</f>
        <v>94</v>
      </c>
      <c r="E4" s="183">
        <f>VLOOKUP(F4,'Clb Q (2)'!A$3:G$7,5,0)</f>
        <v>95</v>
      </c>
      <c r="F4" s="180">
        <f>LARGE('Clb Q (2)'!A$3:A$7,1)</f>
        <v>285.0000095094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15" customHeight="1">
      <c r="A5" s="176"/>
      <c r="B5" s="180" t="str">
        <f>VLOOKUP(F5,'Clb Q (2)'!A$3:G$7,2,0)</f>
        <v>DESTENAVE JEAN-FRANCOIS</v>
      </c>
      <c r="C5" s="181">
        <f>VLOOKUP(F5,'Clb Q (2)'!A$3:G$7,3,0)</f>
        <v>95</v>
      </c>
      <c r="D5" s="182">
        <f>VLOOKUP(F5,'Clb Q (2)'!A$3:G$7,4,0)</f>
        <v>89</v>
      </c>
      <c r="E5" s="183">
        <f>VLOOKUP(F5,'Clb Q (2)'!A$3:G$7,5,0)</f>
        <v>87</v>
      </c>
      <c r="F5" s="180">
        <f>LARGE('Clb Q (2)'!A$3:A$7,2)</f>
        <v>271.0000087089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15" customHeight="1">
      <c r="A6" s="176"/>
      <c r="B6" s="180" t="str">
        <f>VLOOKUP(F6,'Clb Q (2)'!A$3:G$7,2,0)</f>
        <v>LUX LAURENT</v>
      </c>
      <c r="C6" s="181">
        <f>VLOOKUP(F6,'Clb Q (2)'!A$3:G$7,3,0)</f>
        <v>91</v>
      </c>
      <c r="D6" s="182">
        <f>VLOOKUP(F6,'Clb Q (2)'!A$3:G$7,4,0)</f>
        <v>87</v>
      </c>
      <c r="E6" s="183">
        <f>VLOOKUP(F6,'Clb Q (2)'!A$3:G$7,5,0)</f>
        <v>92</v>
      </c>
      <c r="F6" s="180">
        <f>LARGE('Clb Q (2)'!A$3:A$7,3)</f>
        <v>270.00000920870002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15" customHeight="1">
      <c r="A7" s="176"/>
      <c r="B7" s="180" t="str">
        <f>VLOOKUP(F7,'Clb Q (2)'!A$3:G$7,2,0)</f>
        <v>BRENN MARJOLAINE</v>
      </c>
      <c r="C7" s="181">
        <f>VLOOKUP(F7,'Clb Q (2)'!A$3:G$7,3,0)</f>
        <v>90</v>
      </c>
      <c r="D7" s="182">
        <f>VLOOKUP(F7,'Clb Q (2)'!A$3:G$7,4,0)</f>
        <v>89</v>
      </c>
      <c r="E7" s="183">
        <f>VLOOKUP(F7,'Clb Q (2)'!A$3:G$7,5,0)</f>
        <v>91</v>
      </c>
      <c r="F7" s="180">
        <f>LARGE('Clb Q (2)'!A$3:A$7,4)</f>
        <v>270.00000910889997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15" customHeight="1" thickBot="1">
      <c r="A8" s="176"/>
      <c r="B8" s="184" t="str">
        <f>VLOOKUP(F8,'Clb Q (2)'!A$3:G$7,2,0)</f>
        <v>PHAM CONGDUC</v>
      </c>
      <c r="C8" s="185">
        <f>VLOOKUP(F8,'Clb Q (2)'!A$3:G$7,3,0)</f>
        <v>89</v>
      </c>
      <c r="D8" s="186">
        <f>VLOOKUP(F8,'Clb Q (2)'!A$3:G$7,4,0)</f>
        <v>90</v>
      </c>
      <c r="E8" s="187">
        <f>VLOOKUP(F8,'Clb Q (2)'!A$3:G$7,5,0)</f>
        <v>88</v>
      </c>
      <c r="F8" s="184">
        <f>LARGE('Clb Q (2)'!A$3:A$7,5)</f>
        <v>267.00000880900001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1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15" customHeight="1" thickBot="1">
      <c r="A10" s="12"/>
      <c r="B10" s="175" t="s">
        <v>37</v>
      </c>
      <c r="C10" s="253" t="str">
        <f>'Clb Q (2)'!C9</f>
        <v>FRANCS TIREURS DE MONT</v>
      </c>
      <c r="D10" s="254"/>
      <c r="E10" s="254"/>
      <c r="F10" s="174">
        <f>'Clb Q (2)'!F9</f>
        <v>1324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1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15" customHeight="1">
      <c r="A12" s="176"/>
      <c r="B12" s="189" t="str">
        <f>VLOOKUP(F12,'Clb Q (2)'!A$11:G$15,2,0)</f>
        <v>PETIT SEBASTIEN</v>
      </c>
      <c r="C12" s="181">
        <f>VLOOKUP(F12,'Clb Q (2)'!A$11:G$15,3,0)</f>
        <v>97</v>
      </c>
      <c r="D12" s="182">
        <f>VLOOKUP(F12,'Clb Q (2)'!A$11:G$15,4,0)</f>
        <v>90</v>
      </c>
      <c r="E12" s="183">
        <f>VLOOKUP(F12,'Clb Q (2)'!A$11:G$15,5,0)</f>
        <v>95</v>
      </c>
      <c r="F12" s="180">
        <f>LARGE('Clb Q (2)'!A$11:A$15,1)</f>
        <v>282.00000950899999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15" customHeight="1">
      <c r="A13" s="176"/>
      <c r="B13" s="180" t="str">
        <f>VLOOKUP(F13,'Clb Q (2)'!A$11:G$15,2,0)</f>
        <v>WALKER MELANIE</v>
      </c>
      <c r="C13" s="181">
        <f>VLOOKUP(F13,'Clb Q (2)'!A$11:G$15,3,0)</f>
        <v>93</v>
      </c>
      <c r="D13" s="182">
        <f>VLOOKUP(F13,'Clb Q (2)'!A$11:G$15,4,0)</f>
        <v>88</v>
      </c>
      <c r="E13" s="183">
        <f>VLOOKUP(F13,'Clb Q (2)'!A$11:G$15,5,0)</f>
        <v>85</v>
      </c>
      <c r="F13" s="180">
        <f>LARGE('Clb Q (2)'!A$11:A$15,2)</f>
        <v>266.00000850879997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15" customHeight="1">
      <c r="A14" s="176"/>
      <c r="B14" s="180" t="str">
        <f>VLOOKUP(F14,'Clb Q (2)'!A$11:G$15,2,0)</f>
        <v>LATOUR LAURENT</v>
      </c>
      <c r="C14" s="181">
        <f>VLOOKUP(F14,'Clb Q (2)'!A$11:G$15,3,0)</f>
        <v>84</v>
      </c>
      <c r="D14" s="182">
        <f>VLOOKUP(F14,'Clb Q (2)'!A$11:G$15,4,0)</f>
        <v>85</v>
      </c>
      <c r="E14" s="183">
        <f>VLOOKUP(F14,'Clb Q (2)'!A$11:G$15,5,0)</f>
        <v>92</v>
      </c>
      <c r="F14" s="180">
        <f>LARGE('Clb Q (2)'!A$11:A$15,3)</f>
        <v>261.00000920850005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15" customHeight="1">
      <c r="A15" s="176"/>
      <c r="B15" s="180" t="str">
        <f>VLOOKUP(F15,'Clb Q (2)'!A$11:G$15,2,0)</f>
        <v>GOBIN MAXIME</v>
      </c>
      <c r="C15" s="181">
        <f>VLOOKUP(F15,'Clb Q (2)'!A$11:G$15,3,0)</f>
        <v>86</v>
      </c>
      <c r="D15" s="182">
        <f>VLOOKUP(F15,'Clb Q (2)'!A$11:G$15,4,0)</f>
        <v>88</v>
      </c>
      <c r="E15" s="183">
        <f>VLOOKUP(F15,'Clb Q (2)'!A$11:G$15,5,0)</f>
        <v>87</v>
      </c>
      <c r="F15" s="180">
        <f>LARGE('Clb Q (2)'!A$11:A$15,4)</f>
        <v>261.00000870880001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15" customHeight="1" thickBot="1">
      <c r="A16" s="176"/>
      <c r="B16" s="184" t="str">
        <f>VLOOKUP(F16,'Clb Q (2)'!A$11:G$15,2,0)</f>
        <v>LAFARGUE YOANN</v>
      </c>
      <c r="C16" s="185">
        <f>VLOOKUP(F16,'Clb Q (2)'!A$11:G$15,3,0)</f>
        <v>83</v>
      </c>
      <c r="D16" s="186">
        <f>VLOOKUP(F16,'Clb Q (2)'!A$11:G$15,4,0)</f>
        <v>83</v>
      </c>
      <c r="E16" s="187">
        <f>VLOOKUP(F16,'Clb Q (2)'!A$11:G$15,5,0)</f>
        <v>88</v>
      </c>
      <c r="F16" s="184">
        <f>LARGE('Clb Q (2)'!A$11:A$15,5)</f>
        <v>254.00000880829998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1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15" customHeight="1" thickBot="1">
      <c r="A18" s="12"/>
      <c r="B18" s="175" t="str">
        <f>IF(INFO!B8&gt;2,"CLUB N°3","")</f>
        <v>CLUB N°3</v>
      </c>
      <c r="C18" s="253" t="str">
        <f>IF(INFO!B8&gt;2,'Clb Q (2)'!C17,"")</f>
        <v>PAS DE TIR VERT GALANT</v>
      </c>
      <c r="D18" s="254"/>
      <c r="E18" s="254"/>
      <c r="F18" s="174">
        <f>IF(INFO!B8&gt;2,'Clb Q (2)'!F17,"")</f>
        <v>1324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1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15" customHeight="1">
      <c r="A20" s="176"/>
      <c r="B20" s="180" t="str">
        <f>IF(INFO!B$8&gt;2,VLOOKUP(F20,'Clb Q (2)'!A$19:G$23,2,0),"")</f>
        <v>SUCERE Marie</v>
      </c>
      <c r="C20" s="181">
        <f>IF(INFO!B$8&gt;2,VLOOKUP(F20,'Clb Q (2)'!A$19:G$23,3,0),"")</f>
        <v>92</v>
      </c>
      <c r="D20" s="182">
        <f>IF(INFO!B$8&gt;2,VLOOKUP(F20,'Clb Q (2)'!A$19:G$23,4,0),"")</f>
        <v>95</v>
      </c>
      <c r="E20" s="183">
        <f>IF(INFO!B$8&gt;2,VLOOKUP(F20,'Clb Q (2)'!A$19:G$23,5,0),"")</f>
        <v>90</v>
      </c>
      <c r="F20" s="180">
        <f>IF(INFO!B$8&gt;2,LARGE('Clb Q (2)'!A$19:A$23,1),"")</f>
        <v>277.00000900949999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15" customHeight="1">
      <c r="A21" s="176"/>
      <c r="B21" s="180" t="str">
        <f>IF(INFO!B$8&gt;2,VLOOKUP(F21,'Clb Q (2)'!A$19:G$23,2,0),"")</f>
        <v>CWERNER Benoit</v>
      </c>
      <c r="C21" s="181">
        <f>IF(INFO!B$8&gt;2,VLOOKUP(F21,'Clb Q (2)'!A$19:G$23,3,0),"")</f>
        <v>90</v>
      </c>
      <c r="D21" s="182">
        <f>IF(INFO!B$8&gt;2,VLOOKUP(F21,'Clb Q (2)'!A$19:G$23,4,0),"")</f>
        <v>94</v>
      </c>
      <c r="E21" s="183">
        <f>IF(INFO!B$8&gt;2,VLOOKUP(F21,'Clb Q (2)'!A$19:G$23,5,0),"")</f>
        <v>91</v>
      </c>
      <c r="F21" s="180">
        <f>IF(INFO!B$8&gt;2,LARGE('Clb Q (2)'!A$19:A$23,2),"")</f>
        <v>275.00000910940003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15" customHeight="1">
      <c r="A22" s="176"/>
      <c r="B22" s="180" t="str">
        <f>IF(INFO!B$8&gt;2,VLOOKUP(F22,'Clb Q (2)'!A$19:G$23,2,0),"")</f>
        <v>BAJU Jean Robert</v>
      </c>
      <c r="C22" s="181">
        <f>IF(INFO!B$8&gt;2,VLOOKUP(F22,'Clb Q (2)'!A$19:G$23,3,0),"")</f>
        <v>92</v>
      </c>
      <c r="D22" s="182">
        <f>IF(INFO!B$8&gt;2,VLOOKUP(F22,'Clb Q (2)'!A$19:G$23,4,0),"")</f>
        <v>84</v>
      </c>
      <c r="E22" s="183">
        <f>IF(INFO!B$8&gt;2,VLOOKUP(F22,'Clb Q (2)'!A$19:G$23,5,0),"")</f>
        <v>86</v>
      </c>
      <c r="F22" s="180">
        <f>IF(INFO!B$8&gt;2,LARGE('Clb Q (2)'!A$19:A$23,3),"")</f>
        <v>262.00000860839998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15" customHeight="1">
      <c r="A23" s="176"/>
      <c r="B23" s="180" t="str">
        <f>IF(INFO!B$8&gt;2,VLOOKUP(F23,'Clb Q (2)'!A$19:G$23,2,0),"")</f>
        <v>BACHACOU Romain</v>
      </c>
      <c r="C23" s="181">
        <f>IF(INFO!B$8&gt;2,VLOOKUP(F23,'Clb Q (2)'!A$19:G$23,3,0),"")</f>
        <v>90</v>
      </c>
      <c r="D23" s="182">
        <f>IF(INFO!B$8&gt;2,VLOOKUP(F23,'Clb Q (2)'!A$19:G$23,4,0),"")</f>
        <v>87</v>
      </c>
      <c r="E23" s="183">
        <f>IF(INFO!B$8&gt;2,VLOOKUP(F23,'Clb Q (2)'!A$19:G$23,5,0),"")</f>
        <v>80</v>
      </c>
      <c r="F23" s="180">
        <f>IF(INFO!B$8&gt;2,LARGE('Clb Q (2)'!A$19:A$23,4),"")</f>
        <v>257.00000800869998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15" customHeight="1" thickBot="1">
      <c r="A24" s="176"/>
      <c r="B24" s="184" t="str">
        <f>IF(INFO!B$8&gt;2,VLOOKUP(F24,'Clb Q (2)'!A$19:G$23,2,0),"")</f>
        <v>AMATI Christophe</v>
      </c>
      <c r="C24" s="185">
        <f>IF(INFO!B$8&gt;2,VLOOKUP(F24,'Clb Q (2)'!A$19:G$23,3,0),"")</f>
        <v>84</v>
      </c>
      <c r="D24" s="186">
        <f>IF(INFO!B$8&gt;2,VLOOKUP(F24,'Clb Q (2)'!A$19:G$23,4,0),"")</f>
        <v>79</v>
      </c>
      <c r="E24" s="187">
        <f>IF(INFO!B$8&gt;2,VLOOKUP(F24,'Clb Q (2)'!A$19:G$23,5,0),"")</f>
        <v>90</v>
      </c>
      <c r="F24" s="184">
        <f>IF(INFO!B$8&gt;2,LARGE('Clb Q (2)'!A$19:A$23,5),"")</f>
        <v>253.00000900790002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1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15" customHeight="1" thickBot="1">
      <c r="A26" s="12"/>
      <c r="B26" s="175" t="str">
        <f>IF(INFO!B8&gt;3,"CLUB N°4","")</f>
        <v>CLUB N°4</v>
      </c>
      <c r="C26" s="253" t="str">
        <f>IF(INFO!B8&gt;3,'Clb Q (2)'!C25,"")</f>
        <v>ST CIBOURE 1</v>
      </c>
      <c r="D26" s="254"/>
      <c r="E26" s="254"/>
      <c r="F26" s="174">
        <f>IF(INFO!B8&gt;3,'Clb Q (2)'!F25,"")</f>
        <v>1317</v>
      </c>
      <c r="G26" s="12"/>
      <c r="H26" s="175" t="str">
        <f>IF(INFO!B8&gt;4,"CLUB N°5","")</f>
        <v>CLUB N°5</v>
      </c>
      <c r="I26" s="253" t="str">
        <f>IF(INFO!B8&gt;4,'Clb Q (2)'!K25,"")</f>
        <v>ST CIBOURE 2</v>
      </c>
      <c r="J26" s="254"/>
      <c r="K26" s="254"/>
      <c r="L26" s="174">
        <f>IF(INFO!B8&gt;4,'Clb Q (2)'!N25,"")</f>
        <v>1252</v>
      </c>
      <c r="M26" s="12"/>
    </row>
    <row r="27" spans="1:13" ht="22.1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15" customHeight="1">
      <c r="A28" s="176"/>
      <c r="B28" s="180" t="str">
        <f>IF(INFO!B$8&gt;3,VLOOKUP(F28,'Clb Q (2)'!A$27:G$31,2,0),"")</f>
        <v>MEURTIN VINCENT</v>
      </c>
      <c r="C28" s="181">
        <f>IF(INFO!B$8&gt;3,VLOOKUP(F28,'Clb Q (2)'!A$27:G$31,3,0),"")</f>
        <v>89</v>
      </c>
      <c r="D28" s="182">
        <f>IF(INFO!B$8&gt;3,VLOOKUP(F28,'Clb Q (2)'!A$27:G$31,4,0),"")</f>
        <v>92</v>
      </c>
      <c r="E28" s="183">
        <f>IF(INFO!B$8&gt;3,VLOOKUP(F28,'Clb Q (2)'!A$27:G$31,5,0),"")</f>
        <v>91</v>
      </c>
      <c r="F28" s="180">
        <f>IF(INFO!B$8&gt;3,LARGE('Clb Q (2)'!A$27:A$31,1),"")</f>
        <v>272.00000910919999</v>
      </c>
      <c r="G28" s="12"/>
      <c r="H28" s="180" t="str">
        <f>IF(INFO!B$8&gt;4,VLOOKUP(L28,'Clb Q (2)'!I$27:O$31,2,0),"")</f>
        <v>ROSSARD JULIEN</v>
      </c>
      <c r="I28" s="181">
        <f>IF(INFO!B$8&gt;4,VLOOKUP(L28,'Clb Q (2)'!I$27:O$31,3,0),"")</f>
        <v>88</v>
      </c>
      <c r="J28" s="182">
        <f>IF(INFO!B$8&gt;4,VLOOKUP(L28,'Clb Q (2)'!I$27:O$31,4,0),"")</f>
        <v>82</v>
      </c>
      <c r="K28" s="183">
        <f>IF(INFO!B$8&gt;4,VLOOKUP(L28,'Clb Q (2)'!I$27:O$31,5,0),"")</f>
        <v>89</v>
      </c>
      <c r="L28" s="180">
        <f>IF(INFO!B$8&gt;4,LARGE('Clb Q (2)'!I$27:I$31,1),"")</f>
        <v>259.00000890820002</v>
      </c>
      <c r="M28" s="12"/>
    </row>
    <row r="29" spans="1:13" ht="22.15" customHeight="1">
      <c r="A29" s="176"/>
      <c r="B29" s="180" t="str">
        <f>IF(INFO!B$8&gt;3,VLOOKUP(F29,'Clb Q (2)'!A$27:G$31,2,0),"")</f>
        <v>KEOKINNALY HANSAY</v>
      </c>
      <c r="C29" s="181">
        <f>IF(INFO!B$8&gt;3,VLOOKUP(F29,'Clb Q (2)'!A$27:G$31,3,0),"")</f>
        <v>89</v>
      </c>
      <c r="D29" s="182">
        <f>IF(INFO!B$8&gt;3,VLOOKUP(F29,'Clb Q (2)'!A$27:G$31,4,0),"")</f>
        <v>93</v>
      </c>
      <c r="E29" s="183">
        <f>IF(INFO!B$8&gt;3,VLOOKUP(F29,'Clb Q (2)'!A$27:G$31,5,0),"")</f>
        <v>86</v>
      </c>
      <c r="F29" s="180">
        <f>IF(INFO!B$8&gt;3,LARGE('Clb Q (2)'!A$27:A$31,2),"")</f>
        <v>268.00000860929998</v>
      </c>
      <c r="G29" s="12"/>
      <c r="H29" s="180" t="str">
        <f>IF(INFO!B$8&gt;4,VLOOKUP(L29,'Clb Q (2)'!I$27:O$31,2,0),"")</f>
        <v>SIERRA PIERRE</v>
      </c>
      <c r="I29" s="181">
        <f>IF(INFO!B$8&gt;4,VLOOKUP(L29,'Clb Q (2)'!I$27:O$31,3,0),"")</f>
        <v>81</v>
      </c>
      <c r="J29" s="182">
        <f>IF(INFO!B$8&gt;4,VLOOKUP(L29,'Clb Q (2)'!I$27:O$31,4,0),"")</f>
        <v>90</v>
      </c>
      <c r="K29" s="183">
        <f>IF(INFO!B$8&gt;4,VLOOKUP(L29,'Clb Q (2)'!I$27:O$31,5,0),"")</f>
        <v>87</v>
      </c>
      <c r="L29" s="180">
        <f>IF(INFO!B$8&gt;4,LARGE('Clb Q (2)'!I$27:I$31,2),"")</f>
        <v>258.00000870900004</v>
      </c>
      <c r="M29" s="12"/>
    </row>
    <row r="30" spans="1:13" ht="22.15" customHeight="1">
      <c r="A30" s="176"/>
      <c r="B30" s="180" t="str">
        <f>IF(INFO!B$8&gt;3,VLOOKUP(F30,'Clb Q (2)'!A$27:G$31,2,0),"")</f>
        <v>PARNAUD MICHAEL</v>
      </c>
      <c r="C30" s="181">
        <f>IF(INFO!B$8&gt;3,VLOOKUP(F30,'Clb Q (2)'!A$27:G$31,3,0),"")</f>
        <v>87</v>
      </c>
      <c r="D30" s="182">
        <f>IF(INFO!B$8&gt;3,VLOOKUP(F30,'Clb Q (2)'!A$27:G$31,4,0),"")</f>
        <v>86</v>
      </c>
      <c r="E30" s="183">
        <f>IF(INFO!B$8&gt;3,VLOOKUP(F30,'Clb Q (2)'!A$27:G$31,5,0),"")</f>
        <v>90</v>
      </c>
      <c r="F30" s="180">
        <f>IF(INFO!B$8&gt;3,LARGE('Clb Q (2)'!A$27:A$31,3),"")</f>
        <v>263.00000900859999</v>
      </c>
      <c r="G30" s="12"/>
      <c r="H30" s="180" t="str">
        <f>IF(INFO!B$8&gt;4,VLOOKUP(L30,'Clb Q (2)'!I$27:O$31,2,0),"")</f>
        <v>HARAN BRUNO</v>
      </c>
      <c r="I30" s="181">
        <f>IF(INFO!B$8&gt;4,VLOOKUP(L30,'Clb Q (2)'!I$27:O$31,3,0),"")</f>
        <v>76</v>
      </c>
      <c r="J30" s="182">
        <f>IF(INFO!B$8&gt;4,VLOOKUP(L30,'Clb Q (2)'!I$27:O$31,4,0),"")</f>
        <v>85</v>
      </c>
      <c r="K30" s="183">
        <f>IF(INFO!B$8&gt;4,VLOOKUP(L30,'Clb Q (2)'!I$27:O$31,5,0),"")</f>
        <v>86</v>
      </c>
      <c r="L30" s="180">
        <f>IF(INFO!B$8&gt;4,LARGE('Clb Q (2)'!I$27:I$31,3),"")</f>
        <v>247.0000086085</v>
      </c>
      <c r="M30" s="12"/>
    </row>
    <row r="31" spans="1:13" ht="22.15" customHeight="1">
      <c r="A31" s="176"/>
      <c r="B31" s="180" t="str">
        <f>IF(INFO!B$8&gt;3,VLOOKUP(F31,'Clb Q (2)'!A$27:G$31,2,0),"")</f>
        <v>ROUQUETTE JEAN LOUIS</v>
      </c>
      <c r="C31" s="181">
        <f>IF(INFO!B$8&gt;3,VLOOKUP(F31,'Clb Q (2)'!A$27:G$31,3,0),"")</f>
        <v>92</v>
      </c>
      <c r="D31" s="182">
        <f>IF(INFO!B$8&gt;3,VLOOKUP(F31,'Clb Q (2)'!A$27:G$31,4,0),"")</f>
        <v>81</v>
      </c>
      <c r="E31" s="183">
        <f>IF(INFO!B$8&gt;3,VLOOKUP(F31,'Clb Q (2)'!A$27:G$31,5,0),"")</f>
        <v>88</v>
      </c>
      <c r="F31" s="180">
        <f>IF(INFO!B$8&gt;3,LARGE('Clb Q (2)'!A$27:A$31,4),"")</f>
        <v>261.00000880810001</v>
      </c>
      <c r="G31" s="12"/>
      <c r="H31" s="180" t="str">
        <f>IF(INFO!B$8&gt;4,VLOOKUP(L31,'Clb Q (2)'!I$27:O$31,2,0),"")</f>
        <v>ALFONSO ERMINIA</v>
      </c>
      <c r="I31" s="181">
        <f>IF(INFO!B$8&gt;4,VLOOKUP(L31,'Clb Q (2)'!I$27:O$31,3,0),"")</f>
        <v>80</v>
      </c>
      <c r="J31" s="182">
        <f>IF(INFO!B$8&gt;4,VLOOKUP(L31,'Clb Q (2)'!I$27:O$31,4,0),"")</f>
        <v>84</v>
      </c>
      <c r="K31" s="183">
        <f>IF(INFO!B$8&gt;4,VLOOKUP(L31,'Clb Q (2)'!I$27:O$31,5,0),"")</f>
        <v>82</v>
      </c>
      <c r="L31" s="180">
        <f>IF(INFO!B$8&gt;4,LARGE('Clb Q (2)'!I$27:I$31,4),"")</f>
        <v>246.0000082084</v>
      </c>
      <c r="M31" s="12"/>
    </row>
    <row r="32" spans="1:13" ht="22.15" customHeight="1" thickBot="1">
      <c r="A32" s="176"/>
      <c r="B32" s="184" t="str">
        <f>IF(INFO!B$8&gt;3,VLOOKUP(F32,'Clb Q (2)'!A$27:G$31,2,0),"")</f>
        <v>ACHOTEGUI RICHARD</v>
      </c>
      <c r="C32" s="185">
        <f>IF(INFO!B$8&gt;3,VLOOKUP(F32,'Clb Q (2)'!A$27:G$31,3,0),"")</f>
        <v>86</v>
      </c>
      <c r="D32" s="186">
        <f>IF(INFO!B$8&gt;3,VLOOKUP(F32,'Clb Q (2)'!A$27:G$31,4,0),"")</f>
        <v>83</v>
      </c>
      <c r="E32" s="187">
        <f>IF(INFO!B$8&gt;3,VLOOKUP(F32,'Clb Q (2)'!A$27:G$31,5,0),"")</f>
        <v>84</v>
      </c>
      <c r="F32" s="184">
        <f>IF(INFO!B$8&gt;3,LARGE('Clb Q (2)'!A$27:A$31,5),"")</f>
        <v>253.0000084083</v>
      </c>
      <c r="G32" s="12"/>
      <c r="H32" s="184" t="str">
        <f>IF(INFO!B$8&gt;4,VLOOKUP(L32,'Clb Q (2)'!I$27:O$31,2,0),"")</f>
        <v>GARIVET PATRICK</v>
      </c>
      <c r="I32" s="185">
        <f>IF(INFO!B$8&gt;4,VLOOKUP(L32,'Clb Q (2)'!I$27:O$31,3,0),"")</f>
        <v>85</v>
      </c>
      <c r="J32" s="186">
        <f>IF(INFO!B$8&gt;4,VLOOKUP(L32,'Clb Q (2)'!I$27:O$31,4,0),"")</f>
        <v>77</v>
      </c>
      <c r="K32" s="187">
        <f>IF(INFO!B$8&gt;4,VLOOKUP(L32,'Clb Q (2)'!I$27:O$31,5,0),"")</f>
        <v>80</v>
      </c>
      <c r="L32" s="184">
        <f>IF(INFO!B$8&gt;4,LARGE('Clb Q (2)'!I$27:I$31,5),"")</f>
        <v>242.00000800770002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5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59" activePane="bottomLeft" state="frozenSplit"/>
      <selection activeCell="B12" sqref="B12"/>
      <selection pane="bottomLeft" activeCell="J77" sqref="J77"/>
    </sheetView>
  </sheetViews>
  <sheetFormatPr baseColWidth="10" defaultColWidth="8.125" defaultRowHeight="28.1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8.9" customHeight="1"/>
    <row r="2" spans="2:21" ht="63">
      <c r="B2" s="281" t="str">
        <f>CONCATENATE(INFO!B7," - ",INFO!B9)</f>
        <v>PISTOLET - AQUITAINE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2:21" ht="28.9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2:21" ht="60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2:21" s="24" customFormat="1" ht="28.15" customHeight="1" thickBot="1">
      <c r="C5" s="285" t="str">
        <f>'Clb Q'!C2</f>
        <v>ST LONS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PAS DE TIR VERT GALANT</v>
      </c>
      <c r="N5" s="286"/>
      <c r="O5" s="287"/>
      <c r="P5" s="259" t="s">
        <v>45</v>
      </c>
      <c r="Q5" s="260"/>
      <c r="R5" s="285" t="str">
        <f>'Clb Q'!I18</f>
        <v/>
      </c>
      <c r="S5" s="286"/>
      <c r="T5" s="287"/>
    </row>
    <row r="6" spans="2:21" s="25" customFormat="1" ht="22.15" customHeight="1" outlineLevel="1">
      <c r="C6" s="282" t="str">
        <f>'Clb Q'!B4</f>
        <v>PANTELEYEV KONSTANTIN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>SUCERE Marie</v>
      </c>
      <c r="N6" s="283"/>
      <c r="O6" s="284"/>
      <c r="P6" s="107">
        <v>1</v>
      </c>
      <c r="Q6" s="108">
        <v>2</v>
      </c>
      <c r="R6" s="282" t="str">
        <f>'Clb Q'!H20</f>
        <v/>
      </c>
      <c r="S6" s="283"/>
      <c r="T6" s="284"/>
    </row>
    <row r="7" spans="2:21" s="25" customFormat="1" ht="22.15" customHeight="1" outlineLevel="1">
      <c r="C7" s="282" t="str">
        <f>'Clb Q'!B5</f>
        <v>DESTENAVE JEAN-FRANCOIS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CWERNER Benoit</v>
      </c>
      <c r="N7" s="283"/>
      <c r="O7" s="284"/>
      <c r="P7" s="109">
        <v>3</v>
      </c>
      <c r="Q7" s="110">
        <v>4</v>
      </c>
      <c r="R7" s="282" t="str">
        <f>'Clb Q'!H21</f>
        <v/>
      </c>
      <c r="S7" s="283"/>
      <c r="T7" s="284"/>
    </row>
    <row r="8" spans="2:21" s="25" customFormat="1" ht="22.15" customHeight="1" outlineLevel="1">
      <c r="C8" s="282" t="str">
        <f>'Clb Q'!B6</f>
        <v>LUX LAURENT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BAJU Jean Robert</v>
      </c>
      <c r="N8" s="283"/>
      <c r="O8" s="284"/>
      <c r="P8" s="109">
        <v>5</v>
      </c>
      <c r="Q8" s="110">
        <v>6</v>
      </c>
      <c r="R8" s="282" t="str">
        <f>'Clb Q'!H22</f>
        <v/>
      </c>
      <c r="S8" s="283"/>
      <c r="T8" s="284"/>
    </row>
    <row r="9" spans="2:21" s="25" customFormat="1" ht="22.15" customHeight="1" outlineLevel="1">
      <c r="C9" s="282" t="str">
        <f>'Clb Q'!B7</f>
        <v>BRENN MARJOLAINE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BACHACOU Romain</v>
      </c>
      <c r="N9" s="283"/>
      <c r="O9" s="284"/>
      <c r="P9" s="109">
        <v>7</v>
      </c>
      <c r="Q9" s="110">
        <v>8</v>
      </c>
      <c r="R9" s="282" t="str">
        <f>'Clb Q'!H23</f>
        <v/>
      </c>
      <c r="S9" s="283"/>
      <c r="T9" s="284"/>
    </row>
    <row r="10" spans="2:21" s="25" customFormat="1" ht="22.15" customHeight="1" outlineLevel="1" thickBot="1">
      <c r="C10" s="282" t="str">
        <f>'Clb Q'!B8</f>
        <v>PHAM CONGDUC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AMATI Christophe</v>
      </c>
      <c r="N10" s="283"/>
      <c r="O10" s="284"/>
      <c r="P10" s="111">
        <v>9</v>
      </c>
      <c r="Q10" s="112">
        <v>10</v>
      </c>
      <c r="R10" s="282" t="str">
        <f>'Clb Q'!H24</f>
        <v/>
      </c>
      <c r="S10" s="283"/>
      <c r="T10" s="284"/>
    </row>
    <row r="11" spans="2:21" ht="22.15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 t="str">
        <f>IF(O11="","",IF(O11&gt;2,1,0))</f>
        <v/>
      </c>
      <c r="M11" s="261" t="str">
        <f>IF(O11="","",SUM(L11:L17))</f>
        <v/>
      </c>
      <c r="N11" s="262"/>
      <c r="O11" s="58"/>
      <c r="P11" s="266"/>
      <c r="Q11" s="267"/>
      <c r="R11" s="58"/>
      <c r="S11" s="288" t="str">
        <f>IF(R11="","",SUM(U11:U17))</f>
        <v/>
      </c>
      <c r="T11" s="261"/>
      <c r="U11" s="44" t="str">
        <f t="shared" ref="U11:U17" si="0">IF(R11="","",IF(R11&gt;2,1,0))</f>
        <v/>
      </c>
    </row>
    <row r="12" spans="2:21" ht="22.15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 t="str">
        <f t="shared" ref="L12:L17" si="3">IF(O12="","",IF(O12&gt;2,1,0))</f>
        <v/>
      </c>
      <c r="M12" s="263"/>
      <c r="N12" s="264"/>
      <c r="O12" s="59"/>
      <c r="P12" s="257"/>
      <c r="Q12" s="258"/>
      <c r="R12" s="59"/>
      <c r="S12" s="289"/>
      <c r="T12" s="263"/>
      <c r="U12" s="44" t="str">
        <f t="shared" si="0"/>
        <v/>
      </c>
    </row>
    <row r="13" spans="2:21" ht="22.15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 t="str">
        <f t="shared" si="3"/>
        <v/>
      </c>
      <c r="M13" s="263"/>
      <c r="N13" s="264"/>
      <c r="O13" s="59"/>
      <c r="P13" s="257"/>
      <c r="Q13" s="258"/>
      <c r="R13" s="59"/>
      <c r="S13" s="289"/>
      <c r="T13" s="263"/>
      <c r="U13" s="44" t="str">
        <f t="shared" si="0"/>
        <v/>
      </c>
    </row>
    <row r="14" spans="2:21" ht="22.15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 t="str">
        <f t="shared" si="3"/>
        <v/>
      </c>
      <c r="M14" s="263"/>
      <c r="N14" s="264"/>
      <c r="O14" s="59"/>
      <c r="P14" s="257"/>
      <c r="Q14" s="258"/>
      <c r="R14" s="59"/>
      <c r="S14" s="289"/>
      <c r="T14" s="263"/>
      <c r="U14" s="44" t="str">
        <f t="shared" si="0"/>
        <v/>
      </c>
    </row>
    <row r="15" spans="2:21" ht="22.15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 t="str">
        <f t="shared" si="3"/>
        <v/>
      </c>
      <c r="M15" s="263"/>
      <c r="N15" s="264"/>
      <c r="O15" s="59"/>
      <c r="P15" s="257"/>
      <c r="Q15" s="258"/>
      <c r="R15" s="59"/>
      <c r="S15" s="289"/>
      <c r="T15" s="263"/>
      <c r="U15" s="44" t="str">
        <f t="shared" si="0"/>
        <v/>
      </c>
    </row>
    <row r="16" spans="2:21" ht="22.15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89"/>
      <c r="T16" s="263"/>
      <c r="U16" s="44" t="str">
        <f t="shared" si="0"/>
        <v/>
      </c>
    </row>
    <row r="17" spans="2:21" ht="22.15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customHeight="1" thickBot="1"/>
    <row r="19" spans="2:21" s="24" customFormat="1" ht="28.15" customHeight="1" thickBot="1">
      <c r="C19" s="285" t="str">
        <f>'Clb Q'!I26</f>
        <v>ST CIBOURE 2</v>
      </c>
      <c r="D19" s="286"/>
      <c r="E19" s="287"/>
      <c r="F19" s="259" t="s">
        <v>45</v>
      </c>
      <c r="G19" s="260"/>
      <c r="H19" s="285" t="str">
        <f>'Clb Q'!C26</f>
        <v>ST CIBOURE 1</v>
      </c>
      <c r="I19" s="286"/>
      <c r="J19" s="287"/>
      <c r="M19" s="285" t="str">
        <f>'Clb Q'!I10</f>
        <v/>
      </c>
      <c r="N19" s="286"/>
      <c r="O19" s="287"/>
      <c r="P19" s="259" t="s">
        <v>45</v>
      </c>
      <c r="Q19" s="260"/>
      <c r="R19" s="285" t="str">
        <f>'Clb Q'!C10</f>
        <v>FRANCS TIREURS DE MONT</v>
      </c>
      <c r="S19" s="286"/>
      <c r="T19" s="287"/>
    </row>
    <row r="20" spans="2:21" s="25" customFormat="1" ht="22.15" customHeight="1" outlineLevel="1">
      <c r="C20" s="282" t="str">
        <f>'Clb Q'!H28</f>
        <v>ROSSARD JULIEN</v>
      </c>
      <c r="D20" s="283"/>
      <c r="E20" s="284"/>
      <c r="F20" s="107">
        <v>11</v>
      </c>
      <c r="G20" s="108">
        <v>12</v>
      </c>
      <c r="H20" s="282" t="str">
        <f>'Clb Q'!B28</f>
        <v>MEURTIN VINCENT</v>
      </c>
      <c r="I20" s="283"/>
      <c r="J20" s="284"/>
      <c r="M20" s="282" t="str">
        <f>'Clb Q'!H12</f>
        <v/>
      </c>
      <c r="N20" s="283"/>
      <c r="O20" s="284"/>
      <c r="P20" s="107">
        <v>11</v>
      </c>
      <c r="Q20" s="108">
        <v>12</v>
      </c>
      <c r="R20" s="282" t="str">
        <f>'Clb Q'!B12</f>
        <v>PETIT SEBASTIEN</v>
      </c>
      <c r="S20" s="283"/>
      <c r="T20" s="284"/>
    </row>
    <row r="21" spans="2:21" s="25" customFormat="1" ht="22.15" customHeight="1" outlineLevel="1">
      <c r="C21" s="282" t="str">
        <f>'Clb Q'!H29</f>
        <v>SIERRA PIERRE</v>
      </c>
      <c r="D21" s="283"/>
      <c r="E21" s="284"/>
      <c r="F21" s="109">
        <v>13</v>
      </c>
      <c r="G21" s="110">
        <v>14</v>
      </c>
      <c r="H21" s="282" t="str">
        <f>'Clb Q'!B29</f>
        <v>KEOKINNALY HANSAY</v>
      </c>
      <c r="I21" s="283"/>
      <c r="J21" s="284"/>
      <c r="M21" s="282" t="str">
        <f>'Clb Q'!H13</f>
        <v/>
      </c>
      <c r="N21" s="283"/>
      <c r="O21" s="284"/>
      <c r="P21" s="109">
        <v>13</v>
      </c>
      <c r="Q21" s="110">
        <v>14</v>
      </c>
      <c r="R21" s="282" t="str">
        <f>'Clb Q'!B13</f>
        <v>WALKER MELANIE</v>
      </c>
      <c r="S21" s="283"/>
      <c r="T21" s="284"/>
    </row>
    <row r="22" spans="2:21" s="25" customFormat="1" ht="22.15" customHeight="1" outlineLevel="1">
      <c r="C22" s="282" t="str">
        <f>'Clb Q'!H30</f>
        <v>HARAN BRUNO</v>
      </c>
      <c r="D22" s="283"/>
      <c r="E22" s="284"/>
      <c r="F22" s="109">
        <v>15</v>
      </c>
      <c r="G22" s="110">
        <v>16</v>
      </c>
      <c r="H22" s="282" t="str">
        <f>'Clb Q'!B30</f>
        <v>PARNAUD MICHAEL</v>
      </c>
      <c r="I22" s="283"/>
      <c r="J22" s="284"/>
      <c r="M22" s="282" t="str">
        <f>'Clb Q'!H14</f>
        <v/>
      </c>
      <c r="N22" s="283"/>
      <c r="O22" s="284"/>
      <c r="P22" s="109">
        <v>15</v>
      </c>
      <c r="Q22" s="110">
        <v>16</v>
      </c>
      <c r="R22" s="282" t="str">
        <f>'Clb Q'!B14</f>
        <v>LATOUR LAURENT</v>
      </c>
      <c r="S22" s="283"/>
      <c r="T22" s="284"/>
    </row>
    <row r="23" spans="2:21" s="25" customFormat="1" ht="22.15" customHeight="1" outlineLevel="1">
      <c r="C23" s="282" t="str">
        <f>'Clb Q'!H31</f>
        <v>ALFONSO ERMINIA</v>
      </c>
      <c r="D23" s="283"/>
      <c r="E23" s="284"/>
      <c r="F23" s="109">
        <v>17</v>
      </c>
      <c r="G23" s="110">
        <v>18</v>
      </c>
      <c r="H23" s="282" t="str">
        <f>'Clb Q'!B31</f>
        <v>ROUQUETTE JEAN LOUIS</v>
      </c>
      <c r="I23" s="283"/>
      <c r="J23" s="284"/>
      <c r="M23" s="282" t="str">
        <f>'Clb Q'!H15</f>
        <v/>
      </c>
      <c r="N23" s="283"/>
      <c r="O23" s="284"/>
      <c r="P23" s="109">
        <v>17</v>
      </c>
      <c r="Q23" s="110">
        <v>18</v>
      </c>
      <c r="R23" s="282" t="str">
        <f>'Clb Q'!B15</f>
        <v>GOBIN MAXIME</v>
      </c>
      <c r="S23" s="283"/>
      <c r="T23" s="284"/>
    </row>
    <row r="24" spans="2:21" s="25" customFormat="1" ht="22.15" customHeight="1" outlineLevel="1" thickBot="1">
      <c r="C24" s="282" t="str">
        <f>'Clb Q'!H32</f>
        <v>GARIVET PATRICK</v>
      </c>
      <c r="D24" s="283"/>
      <c r="E24" s="284"/>
      <c r="F24" s="111">
        <v>19</v>
      </c>
      <c r="G24" s="112">
        <v>20</v>
      </c>
      <c r="H24" s="282" t="str">
        <f>'Clb Q'!B32</f>
        <v>ACHOTEGUI RICHARD</v>
      </c>
      <c r="I24" s="283"/>
      <c r="J24" s="284"/>
      <c r="M24" s="282" t="str">
        <f>'Clb Q'!H16</f>
        <v/>
      </c>
      <c r="N24" s="283"/>
      <c r="O24" s="284"/>
      <c r="P24" s="111">
        <v>19</v>
      </c>
      <c r="Q24" s="112">
        <v>20</v>
      </c>
      <c r="R24" s="282" t="str">
        <f>'Clb Q'!B16</f>
        <v>LAFARGUE YOANN</v>
      </c>
      <c r="S24" s="283"/>
      <c r="T24" s="284"/>
    </row>
    <row r="25" spans="2:21" ht="22.15" customHeight="1">
      <c r="B25" s="26">
        <f>IF(E25="","",IF(E25&gt;2,1,0))</f>
        <v>0</v>
      </c>
      <c r="C25" s="261">
        <f>IF(E25="","",SUM(B25:B31))</f>
        <v>0</v>
      </c>
      <c r="D25" s="262"/>
      <c r="E25" s="58">
        <v>2</v>
      </c>
      <c r="F25" s="266"/>
      <c r="G25" s="267"/>
      <c r="H25" s="58">
        <v>3</v>
      </c>
      <c r="I25" s="288">
        <f>IF(H25="","",SUM(K25:K31))</f>
        <v>4</v>
      </c>
      <c r="J25" s="261"/>
      <c r="K25" s="44">
        <f>IF(H25="","",IF(H25&gt;2,1,0))</f>
        <v>1</v>
      </c>
      <c r="L25" s="26" t="str">
        <f>IF(O25="","",IF(O25&gt;2,1,0))</f>
        <v/>
      </c>
      <c r="M25" s="261" t="str">
        <f>IF(O25="","",SUM(L25:L31))</f>
        <v/>
      </c>
      <c r="N25" s="262"/>
      <c r="O25" s="58"/>
      <c r="P25" s="266"/>
      <c r="Q25" s="267"/>
      <c r="R25" s="58"/>
      <c r="S25" s="288" t="str">
        <f>IF(R25="","",SUM(U25:U31))</f>
        <v/>
      </c>
      <c r="T25" s="261"/>
      <c r="U25" s="44" t="str">
        <f>IF(R25="","",IF(R25&gt;2,1,0))</f>
        <v/>
      </c>
    </row>
    <row r="26" spans="2:21" ht="22.15" customHeight="1">
      <c r="B26" s="26">
        <f t="shared" ref="B26:B31" si="4">IF(E26="","",IF(E26&gt;2,1,0))</f>
        <v>0</v>
      </c>
      <c r="C26" s="263"/>
      <c r="D26" s="264"/>
      <c r="E26" s="59">
        <v>2</v>
      </c>
      <c r="F26" s="257"/>
      <c r="G26" s="258"/>
      <c r="H26" s="59">
        <v>3</v>
      </c>
      <c r="I26" s="289"/>
      <c r="J26" s="263"/>
      <c r="K26" s="44">
        <f t="shared" ref="K26:K31" si="5">IF(H26="","",IF(H26&gt;2,1,0))</f>
        <v>1</v>
      </c>
      <c r="L26" s="26" t="str">
        <f t="shared" ref="L26:L31" si="6">IF(O26="","",IF(O26&gt;2,1,0))</f>
        <v/>
      </c>
      <c r="M26" s="263"/>
      <c r="N26" s="264"/>
      <c r="O26" s="59"/>
      <c r="P26" s="257"/>
      <c r="Q26" s="258"/>
      <c r="R26" s="59"/>
      <c r="S26" s="289"/>
      <c r="T26" s="263"/>
      <c r="U26" s="44" t="str">
        <f t="shared" ref="U26:U31" si="7">IF(R26="","",IF(R26&gt;2,1,0))</f>
        <v/>
      </c>
    </row>
    <row r="27" spans="2:21" ht="22.15" customHeight="1">
      <c r="B27" s="26">
        <f t="shared" si="4"/>
        <v>0</v>
      </c>
      <c r="C27" s="263"/>
      <c r="D27" s="264"/>
      <c r="E27" s="59">
        <v>0</v>
      </c>
      <c r="F27" s="257"/>
      <c r="G27" s="258"/>
      <c r="H27" s="59">
        <v>5</v>
      </c>
      <c r="I27" s="289"/>
      <c r="J27" s="263"/>
      <c r="K27" s="44">
        <f t="shared" si="5"/>
        <v>1</v>
      </c>
      <c r="L27" s="26" t="str">
        <f t="shared" si="6"/>
        <v/>
      </c>
      <c r="M27" s="263"/>
      <c r="N27" s="264"/>
      <c r="O27" s="59"/>
      <c r="P27" s="257"/>
      <c r="Q27" s="258"/>
      <c r="R27" s="59"/>
      <c r="S27" s="289"/>
      <c r="T27" s="263"/>
      <c r="U27" s="44" t="str">
        <f t="shared" si="7"/>
        <v/>
      </c>
    </row>
    <row r="28" spans="2:21" ht="22.15" customHeight="1">
      <c r="B28" s="26">
        <f t="shared" si="4"/>
        <v>0</v>
      </c>
      <c r="C28" s="263"/>
      <c r="D28" s="264"/>
      <c r="E28" s="59">
        <v>2</v>
      </c>
      <c r="F28" s="257"/>
      <c r="G28" s="258"/>
      <c r="H28" s="59">
        <v>3</v>
      </c>
      <c r="I28" s="289"/>
      <c r="J28" s="263"/>
      <c r="K28" s="44">
        <f t="shared" si="5"/>
        <v>1</v>
      </c>
      <c r="L28" s="26" t="str">
        <f t="shared" si="6"/>
        <v/>
      </c>
      <c r="M28" s="263"/>
      <c r="N28" s="264"/>
      <c r="O28" s="59"/>
      <c r="P28" s="257"/>
      <c r="Q28" s="258"/>
      <c r="R28" s="59"/>
      <c r="S28" s="289"/>
      <c r="T28" s="263"/>
      <c r="U28" s="44" t="str">
        <f t="shared" si="7"/>
        <v/>
      </c>
    </row>
    <row r="29" spans="2:21" ht="22.15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89"/>
      <c r="J29" s="263"/>
      <c r="K29" s="44" t="str">
        <f t="shared" si="5"/>
        <v/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89"/>
      <c r="T29" s="263"/>
      <c r="U29" s="44" t="str">
        <f t="shared" si="7"/>
        <v/>
      </c>
    </row>
    <row r="30" spans="2:21" ht="22.15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89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2.15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89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400.15" hidden="1" customHeight="1" outlineLevel="1"/>
    <row r="33" spans="2:21" ht="100.15" hidden="1" customHeight="1" outlineLevel="1"/>
    <row r="34" spans="2:21" ht="60" customHeight="1" collapsed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8.15" customHeight="1" thickBot="1">
      <c r="C35" s="293" t="str">
        <f>IF(H5="",C5,IF(C11="","",IF(I11="","",IF(C11&gt;3,C5,IF(I11&gt;3,H5,"")))))</f>
        <v>ST LONS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>ST CIBOURE 1</v>
      </c>
      <c r="I35" s="294"/>
      <c r="J35" s="295"/>
      <c r="K35" s="23"/>
      <c r="M35" s="293" t="str">
        <f>IF(R5="",M5,IF(M11="","",IF(S11="","",IF(M11&gt;3,M5,IF(S11&gt;3,R5,"")))))</f>
        <v>PAS DE TIR VERT GALANT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FRANCS TIREURS DE MONT</v>
      </c>
      <c r="S35" s="294"/>
      <c r="T35" s="295"/>
    </row>
    <row r="36" spans="2:21" s="25" customFormat="1" ht="22.15" customHeight="1" outlineLevel="1">
      <c r="C36" s="269" t="str">
        <f>IF(H6="",C6,IF(C11="","",IF(I11="","",IF(C11&gt;3,C6,IF(I11&gt;3,H6,"")))))</f>
        <v>PANTELEYEV KONSTANTIN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>MEURTIN VINCENT</v>
      </c>
      <c r="I36" s="270"/>
      <c r="J36" s="271"/>
      <c r="K36" s="23"/>
      <c r="M36" s="269" t="str">
        <f>IF(R6="",M6,IF(M11="","",IF(S11="","",IF(M11&gt;3,M6,IF(S11&gt;3,R6,"")))))</f>
        <v>SUCERE Marie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PETIT SEBASTIEN</v>
      </c>
      <c r="S36" s="270"/>
      <c r="T36" s="271"/>
      <c r="U36" s="45"/>
    </row>
    <row r="37" spans="2:21" s="25" customFormat="1" ht="22.15" customHeight="1" outlineLevel="1">
      <c r="C37" s="269" t="str">
        <f>IF(H7="",C7,IF(C11="","",IF(I11="","",IF(C11&gt;3,C7,IF(I11&gt;3,H7,"")))))</f>
        <v>DESTENAVE JEAN-FRANCOIS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>KEOKINNALY HANSAY</v>
      </c>
      <c r="I37" s="270"/>
      <c r="J37" s="271"/>
      <c r="K37" s="23"/>
      <c r="M37" s="269" t="str">
        <f>IF(R7="",M7,IF(M11="","",IF(S11="","",IF(M11&gt;3,M7,IF(S11&gt;3,R7,"")))))</f>
        <v>CWERNER Benoit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WALKER MELANIE</v>
      </c>
      <c r="S37" s="270"/>
      <c r="T37" s="271"/>
      <c r="U37" s="45"/>
    </row>
    <row r="38" spans="2:21" s="25" customFormat="1" ht="22.15" customHeight="1" outlineLevel="1">
      <c r="C38" s="269" t="str">
        <f>IF(H8="",C8,IF(C11="","",IF(I11="","",IF(C11&gt;3,C8,IF(I11&gt;3,H8,"")))))</f>
        <v>LUX LAURENT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>PARNAUD MICHAEL</v>
      </c>
      <c r="I38" s="270"/>
      <c r="J38" s="271"/>
      <c r="K38" s="23"/>
      <c r="M38" s="269" t="str">
        <f>IF(R8="",M8,IF(M11="","",IF(S11="","",IF(M11&gt;3,M8,IF(S11&gt;3,R8,"")))))</f>
        <v>BAJU Jean Robert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LATOUR LAURENT</v>
      </c>
      <c r="S38" s="270"/>
      <c r="T38" s="271"/>
      <c r="U38" s="45"/>
    </row>
    <row r="39" spans="2:21" s="25" customFormat="1" ht="22.15" customHeight="1" outlineLevel="1">
      <c r="C39" s="269" t="str">
        <f>IF(H9="",C9,IF(C11="","",IF(I11="","",IF(C11&gt;3,C9,IF(I11&gt;3,H9,"")))))</f>
        <v>BRENN MARJOLAINE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>ROUQUETTE JEAN LOUIS</v>
      </c>
      <c r="I39" s="270"/>
      <c r="J39" s="271"/>
      <c r="K39" s="23"/>
      <c r="M39" s="269" t="str">
        <f>IF(R9="",M9,IF(M11="","",IF(S11="","",IF(M11&gt;3,M9,IF(S11&gt;3,R9,"")))))</f>
        <v>BACHACOU Romain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GOBIN MAXIME</v>
      </c>
      <c r="S39" s="270"/>
      <c r="T39" s="271"/>
      <c r="U39" s="45"/>
    </row>
    <row r="40" spans="2:21" s="25" customFormat="1" ht="22.15" customHeight="1" outlineLevel="1" thickBot="1">
      <c r="C40" s="269" t="str">
        <f>IF(H10="",C10,IF(C11="","",IF(I11="","",IF(C11&gt;3,C10,IF(I11&gt;3,H10,"")))))</f>
        <v>PHAM CONGDUC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>ACHOTEGUI RICHARD</v>
      </c>
      <c r="I40" s="270"/>
      <c r="J40" s="271"/>
      <c r="K40" s="23"/>
      <c r="M40" s="269" t="str">
        <f>IF(R10="",M10,IF(M11="","",IF(S11="","",IF(M11&gt;3,M10,IF(S11&gt;3,R10,"")))))</f>
        <v>AMATI Christophe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LAFARGUE YOANN</v>
      </c>
      <c r="S40" s="270"/>
      <c r="T40" s="271"/>
      <c r="U40" s="45"/>
    </row>
    <row r="41" spans="2:21" ht="22.15" customHeight="1">
      <c r="B41" s="26">
        <f>IF(E41="","",IF(E41&gt;2,1,0))</f>
        <v>0</v>
      </c>
      <c r="C41" s="261">
        <f>IF(E41="","",SUM(B41:B47))</f>
        <v>4</v>
      </c>
      <c r="D41" s="262"/>
      <c r="E41" s="58">
        <v>2</v>
      </c>
      <c r="F41" s="266"/>
      <c r="G41" s="267"/>
      <c r="H41" s="58">
        <v>3</v>
      </c>
      <c r="I41" s="288">
        <f>IF(H41="","",SUM(K41:K47))</f>
        <v>3</v>
      </c>
      <c r="J41" s="261"/>
      <c r="K41" s="44">
        <f>IF(H41="","",IF(H41&gt;2,1,0))</f>
        <v>1</v>
      </c>
      <c r="L41" s="26">
        <f>IF(O41="","",IF(O41&gt;2,1,0))</f>
        <v>0</v>
      </c>
      <c r="M41" s="261">
        <f>IF(O41="","",SUM(L41:L47))</f>
        <v>0</v>
      </c>
      <c r="N41" s="262"/>
      <c r="O41" s="58">
        <v>2</v>
      </c>
      <c r="P41" s="266"/>
      <c r="Q41" s="267"/>
      <c r="R41" s="58">
        <v>3</v>
      </c>
      <c r="S41" s="288">
        <f>IF(R41="","",SUM(U41:U47))</f>
        <v>4</v>
      </c>
      <c r="T41" s="261"/>
      <c r="U41" s="44">
        <f>IF(R41="","",IF(R41&gt;2,1,0))</f>
        <v>1</v>
      </c>
    </row>
    <row r="42" spans="2:21" ht="22.15" customHeight="1">
      <c r="B42" s="26">
        <f t="shared" ref="B42:B47" si="8">IF(E42="","",IF(E42&gt;2,1,0))</f>
        <v>1</v>
      </c>
      <c r="C42" s="263"/>
      <c r="D42" s="264"/>
      <c r="E42" s="59">
        <v>3</v>
      </c>
      <c r="F42" s="257"/>
      <c r="G42" s="258"/>
      <c r="H42" s="59">
        <v>2</v>
      </c>
      <c r="I42" s="289"/>
      <c r="J42" s="263"/>
      <c r="K42" s="44">
        <f t="shared" ref="K42:K47" si="9">IF(H42="","",IF(H42&gt;2,1,0))</f>
        <v>0</v>
      </c>
      <c r="L42" s="26">
        <f t="shared" ref="L42:L47" si="10">IF(O42="","",IF(O42&gt;2,1,0))</f>
        <v>0</v>
      </c>
      <c r="M42" s="263"/>
      <c r="N42" s="264"/>
      <c r="O42" s="59">
        <v>1</v>
      </c>
      <c r="P42" s="257"/>
      <c r="Q42" s="258"/>
      <c r="R42" s="59">
        <v>4</v>
      </c>
      <c r="S42" s="289"/>
      <c r="T42" s="263"/>
      <c r="U42" s="44">
        <f t="shared" ref="U42:U47" si="11">IF(R42="","",IF(R42&gt;2,1,0))</f>
        <v>1</v>
      </c>
    </row>
    <row r="43" spans="2:21" ht="22.15" customHeight="1">
      <c r="B43" s="26">
        <f t="shared" si="8"/>
        <v>1</v>
      </c>
      <c r="C43" s="263"/>
      <c r="D43" s="264"/>
      <c r="E43" s="59">
        <v>5</v>
      </c>
      <c r="F43" s="257"/>
      <c r="G43" s="258"/>
      <c r="H43" s="59">
        <v>0</v>
      </c>
      <c r="I43" s="289"/>
      <c r="J43" s="263"/>
      <c r="K43" s="44">
        <f t="shared" si="9"/>
        <v>0</v>
      </c>
      <c r="L43" s="26">
        <f t="shared" si="10"/>
        <v>0</v>
      </c>
      <c r="M43" s="263"/>
      <c r="N43" s="264"/>
      <c r="O43" s="59">
        <v>1</v>
      </c>
      <c r="P43" s="257"/>
      <c r="Q43" s="258"/>
      <c r="R43" s="59">
        <v>4</v>
      </c>
      <c r="S43" s="289"/>
      <c r="T43" s="263"/>
      <c r="U43" s="44">
        <f t="shared" si="11"/>
        <v>1</v>
      </c>
    </row>
    <row r="44" spans="2:21" ht="22.15" customHeight="1">
      <c r="B44" s="26">
        <f t="shared" si="8"/>
        <v>0</v>
      </c>
      <c r="C44" s="263"/>
      <c r="D44" s="264"/>
      <c r="E44" s="59">
        <v>2</v>
      </c>
      <c r="F44" s="257"/>
      <c r="G44" s="258"/>
      <c r="H44" s="59">
        <v>3</v>
      </c>
      <c r="I44" s="289"/>
      <c r="J44" s="263"/>
      <c r="K44" s="44">
        <f t="shared" si="9"/>
        <v>1</v>
      </c>
      <c r="L44" s="26">
        <f t="shared" si="10"/>
        <v>0</v>
      </c>
      <c r="M44" s="263"/>
      <c r="N44" s="264"/>
      <c r="O44" s="59">
        <v>1</v>
      </c>
      <c r="P44" s="257"/>
      <c r="Q44" s="258"/>
      <c r="R44" s="59">
        <v>4</v>
      </c>
      <c r="S44" s="289"/>
      <c r="T44" s="263"/>
      <c r="U44" s="44">
        <f t="shared" si="11"/>
        <v>1</v>
      </c>
    </row>
    <row r="45" spans="2:21" ht="22.15" customHeight="1">
      <c r="B45" s="26">
        <f t="shared" si="8"/>
        <v>1</v>
      </c>
      <c r="C45" s="263"/>
      <c r="D45" s="264"/>
      <c r="E45" s="59">
        <v>4</v>
      </c>
      <c r="F45" s="257"/>
      <c r="G45" s="258"/>
      <c r="H45" s="59">
        <v>1</v>
      </c>
      <c r="I45" s="289"/>
      <c r="J45" s="263"/>
      <c r="K45" s="44">
        <f t="shared" si="9"/>
        <v>0</v>
      </c>
      <c r="L45" s="26" t="str">
        <f t="shared" si="10"/>
        <v/>
      </c>
      <c r="M45" s="263"/>
      <c r="N45" s="264"/>
      <c r="O45" s="59"/>
      <c r="P45" s="257"/>
      <c r="Q45" s="258"/>
      <c r="R45" s="59"/>
      <c r="S45" s="289"/>
      <c r="T45" s="263"/>
      <c r="U45" s="44" t="str">
        <f t="shared" si="11"/>
        <v/>
      </c>
    </row>
    <row r="46" spans="2:21" ht="22.15" customHeight="1">
      <c r="B46" s="26">
        <f t="shared" si="8"/>
        <v>0</v>
      </c>
      <c r="C46" s="263"/>
      <c r="D46" s="264"/>
      <c r="E46" s="59">
        <v>1</v>
      </c>
      <c r="F46" s="257"/>
      <c r="G46" s="258"/>
      <c r="H46" s="59">
        <v>4</v>
      </c>
      <c r="I46" s="289"/>
      <c r="J46" s="263"/>
      <c r="K46" s="44">
        <f t="shared" si="9"/>
        <v>1</v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89"/>
      <c r="T46" s="263"/>
      <c r="U46" s="44" t="str">
        <f t="shared" si="11"/>
        <v/>
      </c>
    </row>
    <row r="47" spans="2:21" ht="22.15" customHeight="1" thickBot="1">
      <c r="B47" s="26">
        <f t="shared" si="8"/>
        <v>1</v>
      </c>
      <c r="C47" s="263"/>
      <c r="D47" s="264"/>
      <c r="E47" s="60">
        <v>4</v>
      </c>
      <c r="F47" s="257"/>
      <c r="G47" s="258"/>
      <c r="H47" s="60">
        <v>1</v>
      </c>
      <c r="I47" s="289"/>
      <c r="J47" s="263"/>
      <c r="K47" s="44">
        <f t="shared" si="9"/>
        <v>0</v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" customHeight="1" collapsed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8.15" customHeight="1" thickBot="1">
      <c r="F51" s="255"/>
      <c r="G51" s="256"/>
      <c r="H51" s="290" t="str">
        <f>IF(C41="","",IF(I41="","",IF(C41&gt;3,H35,IF(I41&gt;3,C35,""))))</f>
        <v>ST CIBOURE 1</v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PAS DE TIR VERT GALANT</v>
      </c>
      <c r="N51" s="291"/>
      <c r="O51" s="292"/>
      <c r="P51" s="265"/>
      <c r="Q51" s="255"/>
    </row>
    <row r="52" spans="6:17" s="25" customFormat="1" ht="22.15" customHeight="1" outlineLevel="1">
      <c r="F52" s="255"/>
      <c r="G52" s="256"/>
      <c r="H52" s="275" t="str">
        <f>IF(C41="","",IF(I41="","",IF(C41&gt;3,H36,IF(I41&gt;3,C36,""))))</f>
        <v>MEURTIN VINCENT</v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>SUCERE Marie</v>
      </c>
      <c r="N52" s="276"/>
      <c r="O52" s="277"/>
      <c r="P52" s="265"/>
      <c r="Q52" s="255"/>
    </row>
    <row r="53" spans="6:17" s="25" customFormat="1" ht="22.15" customHeight="1" outlineLevel="1">
      <c r="F53" s="255"/>
      <c r="G53" s="256"/>
      <c r="H53" s="275" t="str">
        <f>IF(C41="","",IF(I41="","",IF(C41&gt;3,H37,IF(I41&gt;3,C37,""))))</f>
        <v>KEOKINNALY HANSAY</v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CWERNER Benoit</v>
      </c>
      <c r="N53" s="276"/>
      <c r="O53" s="277"/>
      <c r="P53" s="265"/>
      <c r="Q53" s="255"/>
    </row>
    <row r="54" spans="6:17" s="25" customFormat="1" ht="22.15" customHeight="1" outlineLevel="1">
      <c r="F54" s="255"/>
      <c r="G54" s="256"/>
      <c r="H54" s="275" t="str">
        <f>IF(C41="","",IF(I41="","",IF(C41&gt;3,H38,IF(I41&gt;3,C38,""))))</f>
        <v>PARNAUD MICHAEL</v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BAJU Jean Robert</v>
      </c>
      <c r="N54" s="276"/>
      <c r="O54" s="277"/>
      <c r="P54" s="265"/>
      <c r="Q54" s="255"/>
    </row>
    <row r="55" spans="6:17" s="25" customFormat="1" ht="22.15" customHeight="1" outlineLevel="1">
      <c r="F55" s="255"/>
      <c r="G55" s="256"/>
      <c r="H55" s="275" t="str">
        <f>IF(C41="","",IF(I41="","",IF(C41&gt;3,H39,IF(I41&gt;3,C39,""))))</f>
        <v>ROUQUETTE JEAN LOUIS</v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BACHACOU Romain</v>
      </c>
      <c r="N55" s="276"/>
      <c r="O55" s="277"/>
      <c r="P55" s="265"/>
      <c r="Q55" s="255"/>
    </row>
    <row r="56" spans="6:17" s="25" customFormat="1" ht="22.15" customHeight="1" outlineLevel="1" thickBot="1">
      <c r="F56" s="255"/>
      <c r="G56" s="256"/>
      <c r="H56" s="275" t="str">
        <f>IF(C41="","",IF(I41="","",IF(C41&gt;3,H40,IF(I41&gt;3,C40,""))))</f>
        <v>ACHOTEGUI RICHARD</v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AMATI Christophe</v>
      </c>
      <c r="N56" s="276"/>
      <c r="O56" s="277"/>
      <c r="P56" s="265"/>
      <c r="Q56" s="255"/>
    </row>
    <row r="57" spans="6:17" ht="22.15" customHeight="1">
      <c r="G57" s="26">
        <f>IF(J57="","",IF(J57&gt;2,1,0))</f>
        <v>1</v>
      </c>
      <c r="H57" s="261">
        <f>IF(J57="","",SUM(G57:G63))</f>
        <v>4</v>
      </c>
      <c r="I57" s="262"/>
      <c r="J57" s="58">
        <v>3</v>
      </c>
      <c r="K57" s="266"/>
      <c r="L57" s="267"/>
      <c r="M57" s="58">
        <v>2</v>
      </c>
      <c r="N57" s="288">
        <f>IF(H35="",IF(M51="","",4),IF(M57="","",SUM(P57:P63)))</f>
        <v>3</v>
      </c>
      <c r="O57" s="261"/>
      <c r="P57" s="44">
        <f>IF(M57="","",IF(M57&gt;2,1,0))</f>
        <v>0</v>
      </c>
    </row>
    <row r="58" spans="6:17" ht="22.15" customHeight="1">
      <c r="G58" s="26">
        <f t="shared" ref="G58:G63" si="12">IF(J58="","",IF(J58&gt;2,1,0))</f>
        <v>1</v>
      </c>
      <c r="H58" s="263"/>
      <c r="I58" s="264"/>
      <c r="J58" s="59">
        <v>4</v>
      </c>
      <c r="K58" s="257"/>
      <c r="L58" s="258"/>
      <c r="M58" s="59">
        <v>1</v>
      </c>
      <c r="N58" s="289"/>
      <c r="O58" s="263"/>
      <c r="P58" s="44">
        <f t="shared" ref="P58:P63" si="13">IF(M58="","",IF(M58&gt;2,1,0))</f>
        <v>0</v>
      </c>
    </row>
    <row r="59" spans="6:17" ht="22.15" customHeight="1">
      <c r="G59" s="26">
        <f t="shared" si="12"/>
        <v>0</v>
      </c>
      <c r="H59" s="263"/>
      <c r="I59" s="264"/>
      <c r="J59" s="59">
        <v>2</v>
      </c>
      <c r="K59" s="257"/>
      <c r="L59" s="258"/>
      <c r="M59" s="59">
        <v>3</v>
      </c>
      <c r="N59" s="289"/>
      <c r="O59" s="263"/>
      <c r="P59" s="44">
        <f t="shared" si="13"/>
        <v>1</v>
      </c>
    </row>
    <row r="60" spans="6:17" ht="22.15" customHeight="1">
      <c r="G60" s="26">
        <f t="shared" si="12"/>
        <v>0</v>
      </c>
      <c r="H60" s="263"/>
      <c r="I60" s="264"/>
      <c r="J60" s="59">
        <v>2</v>
      </c>
      <c r="K60" s="257"/>
      <c r="L60" s="258"/>
      <c r="M60" s="59">
        <v>3</v>
      </c>
      <c r="N60" s="289"/>
      <c r="O60" s="263"/>
      <c r="P60" s="44">
        <f t="shared" si="13"/>
        <v>1</v>
      </c>
    </row>
    <row r="61" spans="6:17" ht="22.15" customHeight="1">
      <c r="G61" s="26">
        <f t="shared" si="12"/>
        <v>1</v>
      </c>
      <c r="H61" s="263"/>
      <c r="I61" s="264"/>
      <c r="J61" s="59">
        <v>3</v>
      </c>
      <c r="K61" s="257"/>
      <c r="L61" s="258"/>
      <c r="M61" s="59">
        <v>2</v>
      </c>
      <c r="N61" s="289"/>
      <c r="O61" s="263"/>
      <c r="P61" s="44">
        <f t="shared" si="13"/>
        <v>0</v>
      </c>
    </row>
    <row r="62" spans="6:17" ht="22.15" customHeight="1">
      <c r="G62" s="26">
        <f t="shared" si="12"/>
        <v>0</v>
      </c>
      <c r="H62" s="263"/>
      <c r="I62" s="264"/>
      <c r="J62" s="59">
        <v>2</v>
      </c>
      <c r="K62" s="257"/>
      <c r="L62" s="258"/>
      <c r="M62" s="59">
        <v>3</v>
      </c>
      <c r="N62" s="289"/>
      <c r="O62" s="263"/>
      <c r="P62" s="44">
        <f t="shared" si="13"/>
        <v>1</v>
      </c>
    </row>
    <row r="63" spans="6:17" ht="22.15" customHeight="1" thickBot="1">
      <c r="G63" s="26">
        <f t="shared" si="12"/>
        <v>1</v>
      </c>
      <c r="H63" s="263"/>
      <c r="I63" s="264"/>
      <c r="J63" s="60">
        <v>3</v>
      </c>
      <c r="K63" s="257"/>
      <c r="L63" s="258"/>
      <c r="M63" s="60">
        <v>2</v>
      </c>
      <c r="N63" s="289"/>
      <c r="O63" s="263"/>
      <c r="P63" s="44">
        <f t="shared" si="13"/>
        <v>0</v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8.15" customHeight="1" thickBot="1">
      <c r="F65" s="255"/>
      <c r="G65" s="256"/>
      <c r="H65" s="272" t="str">
        <f>IF(H35="",C35,IF(C41="","",IF(I41="","",IF(C41&gt;3,C35,IF(I41&gt;3,H35,"")))))</f>
        <v>ST LONS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FRANCS TIREURS DE MONT</v>
      </c>
      <c r="N65" s="273"/>
      <c r="O65" s="274"/>
      <c r="P65" s="265"/>
      <c r="Q65" s="255"/>
    </row>
    <row r="66" spans="6:17" ht="22.15" customHeight="1" outlineLevel="1">
      <c r="F66" s="255"/>
      <c r="G66" s="256"/>
      <c r="H66" s="278" t="str">
        <f>IF(H36="",C36,IF(C41="","",IF(I41="","",IF(C41&gt;3,C36,IF(I41&gt;3,H36,"")))))</f>
        <v>PANTELEYEV KONSTANTIN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PETIT SEBASTIEN</v>
      </c>
      <c r="N66" s="279"/>
      <c r="O66" s="280"/>
      <c r="P66" s="265"/>
      <c r="Q66" s="255"/>
    </row>
    <row r="67" spans="6:17" ht="22.15" customHeight="1" outlineLevel="1">
      <c r="F67" s="255"/>
      <c r="G67" s="256"/>
      <c r="H67" s="278" t="str">
        <f>IF(H37="",C37,IF(C41="","",IF(I41="","",IF(C41&gt;3,C37,IF(I41&gt;3,H37,"")))))</f>
        <v>DESTENAVE JEAN-FRANCOIS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WALKER MELANIE</v>
      </c>
      <c r="N67" s="279"/>
      <c r="O67" s="280"/>
      <c r="P67" s="265"/>
      <c r="Q67" s="255"/>
    </row>
    <row r="68" spans="6:17" ht="22.15" customHeight="1" outlineLevel="1">
      <c r="F68" s="255"/>
      <c r="G68" s="256"/>
      <c r="H68" s="278" t="str">
        <f>IF(H38="",C38,IF(C41="","",IF(I41="","",IF(C41&gt;3,C38,IF(I41&gt;3,H38,"")))))</f>
        <v>LUX LAURENT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LATOUR LAURENT</v>
      </c>
      <c r="N68" s="279"/>
      <c r="O68" s="280"/>
      <c r="P68" s="265"/>
      <c r="Q68" s="255"/>
    </row>
    <row r="69" spans="6:17" ht="22.15" customHeight="1" outlineLevel="1">
      <c r="F69" s="255"/>
      <c r="G69" s="256"/>
      <c r="H69" s="278" t="str">
        <f>IF(H39="",C39,IF(C41="","",IF(I41="","",IF(C41&gt;3,C39,IF(I41&gt;3,H39,"")))))</f>
        <v>BRENN MARJOLAINE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GOBIN MAXIME</v>
      </c>
      <c r="N69" s="279"/>
      <c r="O69" s="280"/>
      <c r="P69" s="265"/>
      <c r="Q69" s="255"/>
    </row>
    <row r="70" spans="6:17" ht="22.15" customHeight="1" outlineLevel="1" thickBot="1">
      <c r="F70" s="255"/>
      <c r="G70" s="256"/>
      <c r="H70" s="278" t="str">
        <f>IF(H40="",C40,IF(C41="","",IF(I41="","",IF(C41&gt;3,C40,IF(I41&gt;3,H40,"")))))</f>
        <v>PHAM CONGDUC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LAFARGUE YOANN</v>
      </c>
      <c r="N70" s="279"/>
      <c r="O70" s="280"/>
      <c r="P70" s="265"/>
      <c r="Q70" s="255"/>
    </row>
    <row r="71" spans="6:17" ht="22.15" customHeight="1">
      <c r="G71" s="26">
        <f>IF(J71="","",IF(J71&gt;2,1,0))</f>
        <v>0</v>
      </c>
      <c r="H71" s="261">
        <f>IF(J71="","",SUM(G71:G77))</f>
        <v>3</v>
      </c>
      <c r="I71" s="262"/>
      <c r="J71" s="58">
        <v>2</v>
      </c>
      <c r="K71" s="266"/>
      <c r="L71" s="267"/>
      <c r="M71" s="58">
        <v>3</v>
      </c>
      <c r="N71" s="288">
        <f>IF(M71="","",SUM(P71:P77))</f>
        <v>4</v>
      </c>
      <c r="O71" s="261"/>
      <c r="P71" s="44">
        <f>IF(M71="","",IF(M71&gt;2,1,0))</f>
        <v>1</v>
      </c>
    </row>
    <row r="72" spans="6:17" ht="22.15" customHeight="1">
      <c r="G72" s="26">
        <f t="shared" ref="G72:G77" si="14">IF(J72="","",IF(J72&gt;2,1,0))</f>
        <v>1</v>
      </c>
      <c r="H72" s="263"/>
      <c r="I72" s="264"/>
      <c r="J72" s="59">
        <v>4</v>
      </c>
      <c r="K72" s="257"/>
      <c r="L72" s="258"/>
      <c r="M72" s="59">
        <v>1</v>
      </c>
      <c r="N72" s="289"/>
      <c r="O72" s="263"/>
      <c r="P72" s="44">
        <f t="shared" ref="P72:P77" si="15">IF(M72="","",IF(M72&gt;2,1,0))</f>
        <v>0</v>
      </c>
    </row>
    <row r="73" spans="6:17" ht="22.15" customHeight="1">
      <c r="G73" s="26">
        <f t="shared" si="14"/>
        <v>0</v>
      </c>
      <c r="H73" s="263"/>
      <c r="I73" s="264"/>
      <c r="J73" s="59">
        <v>2</v>
      </c>
      <c r="K73" s="257"/>
      <c r="L73" s="258"/>
      <c r="M73" s="59">
        <v>3</v>
      </c>
      <c r="N73" s="289"/>
      <c r="O73" s="263"/>
      <c r="P73" s="44">
        <f t="shared" si="15"/>
        <v>1</v>
      </c>
    </row>
    <row r="74" spans="6:17" ht="22.15" customHeight="1">
      <c r="G74" s="26">
        <f t="shared" si="14"/>
        <v>1</v>
      </c>
      <c r="H74" s="263"/>
      <c r="I74" s="264"/>
      <c r="J74" s="59">
        <v>3</v>
      </c>
      <c r="K74" s="257"/>
      <c r="L74" s="258"/>
      <c r="M74" s="59">
        <v>2</v>
      </c>
      <c r="N74" s="289"/>
      <c r="O74" s="263"/>
      <c r="P74" s="44">
        <f t="shared" si="15"/>
        <v>0</v>
      </c>
    </row>
    <row r="75" spans="6:17" ht="22.15" customHeight="1">
      <c r="G75" s="26">
        <f t="shared" si="14"/>
        <v>1</v>
      </c>
      <c r="H75" s="263"/>
      <c r="I75" s="264"/>
      <c r="J75" s="59">
        <v>3</v>
      </c>
      <c r="K75" s="257"/>
      <c r="L75" s="258"/>
      <c r="M75" s="59">
        <v>2</v>
      </c>
      <c r="N75" s="289"/>
      <c r="O75" s="263"/>
      <c r="P75" s="44">
        <f t="shared" si="15"/>
        <v>0</v>
      </c>
    </row>
    <row r="76" spans="6:17" ht="22.15" customHeight="1">
      <c r="G76" s="26">
        <f t="shared" si="14"/>
        <v>0</v>
      </c>
      <c r="H76" s="263"/>
      <c r="I76" s="264"/>
      <c r="J76" s="59">
        <v>2</v>
      </c>
      <c r="K76" s="257"/>
      <c r="L76" s="258"/>
      <c r="M76" s="59">
        <v>3</v>
      </c>
      <c r="N76" s="289"/>
      <c r="O76" s="263"/>
      <c r="P76" s="44">
        <f t="shared" si="15"/>
        <v>1</v>
      </c>
    </row>
    <row r="77" spans="6:17" ht="22.15" customHeight="1" thickBot="1">
      <c r="G77" s="26">
        <f t="shared" si="14"/>
        <v>0</v>
      </c>
      <c r="H77" s="263"/>
      <c r="I77" s="264"/>
      <c r="J77" s="60">
        <v>2</v>
      </c>
      <c r="K77" s="257"/>
      <c r="L77" s="258"/>
      <c r="M77" s="60">
        <v>3</v>
      </c>
      <c r="N77" s="289"/>
      <c r="O77" s="263"/>
      <c r="P77" s="44">
        <f t="shared" si="15"/>
        <v>1</v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15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15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PISTOLET   AQUITAINE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" customHeight="1">
      <c r="A8" s="28">
        <v>1</v>
      </c>
      <c r="B8" s="39" t="str">
        <f>IF(A8="","",IF('P.F.'!J71="","",IF('P.F.'!H71&gt;3,'P.F.'!H65,IF('P.F.'!N71&gt;3,'P.F.'!M65,""))))</f>
        <v>FRANCS TIREURS DE MONT</v>
      </c>
      <c r="C8" s="39"/>
      <c r="D8" s="40">
        <f>IF(A8="","",IF(B8="","",VLOOKUP(B8,'M Q'!B$7:AI$14,2,0)))</f>
        <v>264062</v>
      </c>
      <c r="E8" s="191">
        <f>IF(A8="","",IF(B8="","",VLOOKUP(B8,'M Q'!B$7:AI$14,33,0)))</f>
        <v>1324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1.9" customHeight="1">
      <c r="A9" s="28">
        <f>IF(INFO!B8&gt;1,2,"")</f>
        <v>2</v>
      </c>
      <c r="B9" s="39" t="str">
        <f>IF(A9="","",IF('P.F.'!M71="","",IF('P.F.'!H71&gt;3,'P.F.'!M65,IF('P.F.'!N71&gt;3,'P.F.'!H65,""))))</f>
        <v>ST LONS</v>
      </c>
      <c r="C9" s="39"/>
      <c r="D9" s="40" t="str">
        <f>IF(A9="","",IF(B9="","",VLOOKUP(B9,'M Q'!B$7:AI$14,2,0)))</f>
        <v>2.64.059</v>
      </c>
      <c r="E9" s="191">
        <f>IF(A9="","",IF(B9="","",VLOOKUP(B9,'M Q'!B$7:AI$14,33,0)))</f>
        <v>1363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1.9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ST CIBOURE 1</v>
      </c>
      <c r="C10" s="27"/>
      <c r="D10" s="40">
        <f>IF(A10="","",IF(B10="","",VLOOKUP(B10,'M Q'!B$7:AI$14,2,0)))</f>
        <v>264120</v>
      </c>
      <c r="E10" s="191">
        <f>IF(A10="","",IF(B10="","",VLOOKUP(B10,'M Q'!B$7:AI$14,33,0)))</f>
        <v>1317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1.9" customHeight="1">
      <c r="A11" s="28">
        <f>IF(INFO!B8&gt;3,4,"")</f>
        <v>4</v>
      </c>
      <c r="B11" s="27" t="str">
        <f>IF(A11="","",IF('P.F.'!M57="","",IF('P.F.'!H57&gt;3,'P.F.'!M51,IF('P.F.'!N57&gt;3,'P.F.'!H51,""))))</f>
        <v>PAS DE TIR VERT GALANT</v>
      </c>
      <c r="C11" s="27"/>
      <c r="D11" s="40">
        <f>IF(A11="","",IF(B11="","",VLOOKUP(B11,'M Q'!B$7:AI$14,2,0)))</f>
        <v>264302</v>
      </c>
      <c r="E11" s="191">
        <f>IF(A11="","",IF(B11="","",VLOOKUP(B11,'M Q'!B$7:AI$14,33,0)))</f>
        <v>1324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" customHeight="1">
      <c r="A12" s="28">
        <f>IF(INFO!B8&gt;4,5,"")</f>
        <v>5</v>
      </c>
      <c r="B12" s="27" t="str">
        <f>IF(A12="","",VLOOKUP(E12,J$12:M$15,3,0))</f>
        <v>ST CIBOURE 2</v>
      </c>
      <c r="C12" s="27"/>
      <c r="D12" s="41">
        <f>IF(A12="","",VLOOKUP(E12,J$12:M$15,4,0))</f>
        <v>264120</v>
      </c>
      <c r="E12" s="192">
        <f>IF(A12="","",LARGE(J12:J15,1))</f>
        <v>1252.000000424418</v>
      </c>
      <c r="F12" s="49">
        <f>IF(A12="","",IF(B12="","",VLOOKUP(B12,'M Q'!B$7:AI$14,34,0)))</f>
        <v>0</v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1.9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4" customFormat="1" ht="61.9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1252.000000424418</v>
      </c>
      <c r="K14" s="16">
        <f>VLOOKUP(L14,saisie!C$7:AL$26,34,0)</f>
        <v>0</v>
      </c>
      <c r="L14" s="37" t="str">
        <f>IF('P.F.'!H25="","",IF('P.F.'!C25&gt;3,'P.F.'!H19,IF('P.F.'!I25&gt;3,'P.F.'!C19,"")))</f>
        <v>ST CIBOURE 2</v>
      </c>
      <c r="M14" s="16">
        <f>VLOOKUP(L14,saisie!C$7:AL$26,2,0)</f>
        <v>264120</v>
      </c>
      <c r="O14" s="15"/>
      <c r="P14" s="15"/>
    </row>
    <row r="15" spans="1:17" s="14" customFormat="1" ht="61.9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2025-01-12T15:06:48Z</cp:lastPrinted>
  <dcterms:created xsi:type="dcterms:W3CDTF">2004-11-19T11:01:00Z</dcterms:created>
  <dcterms:modified xsi:type="dcterms:W3CDTF">2025-01-13T15:32:31Z</dcterms:modified>
</cp:coreProperties>
</file>