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d64_\Desktop\"/>
    </mc:Choice>
  </mc:AlternateContent>
  <xr:revisionPtr revIDLastSave="0" documentId="13_ncr:1_{E1E5CC61-B5D6-4373-8DAD-984188CDC8B0}" xr6:coauthVersionLast="47" xr6:coauthVersionMax="47" xr10:uidLastSave="{00000000-0000-0000-0000-000000000000}"/>
  <bookViews>
    <workbookView xWindow="-120" yWindow="-120" windowWidth="29040" windowHeight="15720" tabRatio="960" activeTab="5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AL21" i="37" s="1"/>
  <c r="U21" i="37"/>
  <c r="AA21" i="37"/>
  <c r="AG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C25" i="36" s="1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L20" i="37" l="1"/>
  <c r="AI19" i="37"/>
  <c r="AL15" i="37"/>
  <c r="M11" i="36"/>
  <c r="AL25" i="37"/>
  <c r="AI24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E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D9" i="32" l="1"/>
  <c r="F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M4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C39" i="36" l="1"/>
  <c r="H55" i="36" s="1"/>
  <c r="R37" i="36"/>
  <c r="H38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M70" i="36" s="1"/>
  <c r="R36" i="36"/>
  <c r="B13" i="32"/>
  <c r="F13" i="32" s="1"/>
  <c r="D13" i="32"/>
  <c r="C37" i="36"/>
  <c r="H53" i="36" s="1"/>
  <c r="H36" i="36"/>
  <c r="D12" i="32"/>
  <c r="B12" i="32"/>
  <c r="F12" i="32" s="1"/>
  <c r="H69" i="36" l="1"/>
  <c r="H68" i="36"/>
  <c r="H70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<sst xmlns="http://schemas.openxmlformats.org/spreadsheetml/2006/main" count="225" uniqueCount="98">
  <si>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</si>
  <si>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</si>
  <si>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</si>
  <si>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</si>
  <si>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</si>
  <si>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</si>
  <si>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</si>
  <si>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</si>
  <si>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</si>
  <si>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</si>
  <si>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</si>
  <si>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</si>
  <si>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</si>
  <si>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</si>
  <si>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</si>
  <si>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</si>
  <si>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</si>
  <si>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</si>
  <si>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</si>
  <si>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</si>
  <si>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</si>
  <si>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</si>
  <si>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</si>
  <si>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</si>
  <si>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</si>
  <si>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</si>
  <si>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</si>
  <si>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</si>
  <si>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</si>
  <si>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</si>
  <si>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</si>
  <si>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</si>
  <si>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</si>
  <si>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</si>
  <si>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</si>
  <si>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</si>
  <si>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</si>
  <si>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</si>
  <si>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</si>
  <si>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</si>
  <si>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</si>
  <si>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</si>
  <si>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</si>
  <si>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</si>
  <si>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</si>
  <si>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</si>
  <si>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</si>
  <si>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</si>
  <si>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</si>
  <si>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</si>
  <si>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</si>
  <si>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</si>
  <si>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</si>
  <si>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</si>
  <si>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</si>
  <si>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</si>
  <si>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ST CIBOURE</t>
  </si>
  <si>
    <t>2025-2026</t>
  </si>
  <si>
    <t>AQUITAINE</t>
  </si>
  <si>
    <t>PISTOLET</t>
  </si>
  <si>
    <t>ST LONS</t>
  </si>
  <si>
    <t>ACHOTEGUI RICHARD</t>
  </si>
  <si>
    <t>KEOKINNALY HANSAY</t>
  </si>
  <si>
    <t>ROUQUETTE JEAN-LOUIS</t>
  </si>
  <si>
    <t>BOULENGUIEZ JULIEN</t>
  </si>
  <si>
    <t>TAILLEUR DAMIEN</t>
  </si>
  <si>
    <t>PANTELEYEV KONSTANTIN</t>
  </si>
  <si>
    <t>DUHAMELLE DENIS</t>
  </si>
  <si>
    <t>DESTNAVE JEAN-FRANCOIS</t>
  </si>
  <si>
    <t>LUX LAURENT</t>
  </si>
  <si>
    <t>BRENN MARJOLAINE</t>
  </si>
  <si>
    <t>PARNAUT MICKAEL</t>
  </si>
  <si>
    <t>DE AIZPURUA CHAON NORA</t>
  </si>
  <si>
    <t>SIERRA PIERRE</t>
  </si>
  <si>
    <t>ROSSARD JULIEN</t>
  </si>
  <si>
    <t>FT MONT</t>
  </si>
  <si>
    <t>WALKER MELANIE</t>
  </si>
  <si>
    <t>LATOUR LAURENT</t>
  </si>
  <si>
    <t>LAFARGUE YOANN</t>
  </si>
  <si>
    <t>LASCARAY THIERRY</t>
  </si>
  <si>
    <t>PETIT SEBASTIEN</t>
  </si>
  <si>
    <t>HIGOA BOURDILLAT MAEL</t>
  </si>
  <si>
    <t>HIGOA BOURDILLAT LILOU</t>
  </si>
  <si>
    <t>CRESPO AGUIRRE ROGER</t>
  </si>
  <si>
    <t>MEURTIN VINCENT</t>
  </si>
  <si>
    <t>GARIVET PATRICK</t>
  </si>
  <si>
    <t>PAS DE TIR DU VERT GALANT</t>
  </si>
  <si>
    <t>AMATI JEAN PASCAL</t>
  </si>
  <si>
    <t>BAJU JEAN ROBERT</t>
  </si>
  <si>
    <t>SUCERE MARIE</t>
  </si>
  <si>
    <t>CWERNER BENOIT</t>
  </si>
  <si>
    <t>06 86 75 13 69</t>
  </si>
  <si>
    <t>garivet40@gmail.com</t>
  </si>
  <si>
    <t>ROCHER MICKAEL</t>
  </si>
  <si>
    <t>BACHACOU ROMAIN</t>
  </si>
  <si>
    <t>ST CIBOURE 1</t>
  </si>
  <si>
    <t>ST CIBOURE 2</t>
  </si>
  <si>
    <t>ST CIBOURE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</si>
</sst>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workbookViewId="0">
      <selection activeCell="B14" sqref="B14"/>
    </sheetView>
  </sheetViews>
  <sheetFormatPr baseColWidth="10" defaultColWidth="10.625" defaultRowHeight="12.75"/>
  <cols>
    <col min="1" max="1" width="17.625" style="62" customWidth="1"/>
    <col min="2" max="2" width="29.625" style="62" customWidth="1"/>
    <col min="3" max="3" width="30.875" style="62" customWidth="1"/>
    <col min="4" max="4" width="2.625" style="62" customWidth="1"/>
    <col min="5" max="16384" width="10.625" style="62"/>
  </cols>
  <sheetData>
    <row r="1" spans="1:3" ht="97.15" customHeight="1">
      <c r="A1" s="197" t="s">
        <v>46</v>
      </c>
      <c r="B1" s="198"/>
      <c r="C1" s="198"/>
    </row>
    <row r="2" spans="1:3" ht="25.15" customHeight="1">
      <c r="A2" s="199"/>
      <c r="B2" s="199"/>
      <c r="C2" s="199"/>
    </row>
    <row r="3" spans="1:3" ht="25.15" customHeight="1">
      <c r="A3" s="202" t="s">
        <v>22</v>
      </c>
      <c r="B3" s="202"/>
      <c r="C3" s="202"/>
    </row>
    <row r="4" spans="1:3" ht="25.15" customHeight="1">
      <c r="A4" s="63" t="s">
        <v>27</v>
      </c>
      <c r="B4" s="48">
        <v>44571</v>
      </c>
      <c r="C4" s="64"/>
    </row>
    <row r="5" spans="1:3" ht="25.15" customHeight="1">
      <c r="A5" s="63" t="s">
        <v>28</v>
      </c>
      <c r="B5" s="6" t="s">
        <v>56</v>
      </c>
      <c r="C5" s="64"/>
    </row>
    <row r="6" spans="1:3" ht="25.15" customHeight="1">
      <c r="A6" s="63" t="s">
        <v>25</v>
      </c>
      <c r="B6" s="33" t="s">
        <v>57</v>
      </c>
      <c r="C6" s="64"/>
    </row>
    <row r="7" spans="1:3" ht="25.15" customHeight="1">
      <c r="A7" s="63" t="s">
        <v>6</v>
      </c>
      <c r="B7" s="6" t="s">
        <v>59</v>
      </c>
      <c r="C7" s="64" t="s">
        <v>24</v>
      </c>
    </row>
    <row r="8" spans="1:3" ht="25.15" customHeight="1">
      <c r="A8" s="63" t="s">
        <v>17</v>
      </c>
      <c r="B8" s="61">
        <v>6</v>
      </c>
      <c r="C8" s="64"/>
    </row>
    <row r="9" spans="1:3" ht="25.15" customHeight="1">
      <c r="A9" s="5" t="s">
        <v>23</v>
      </c>
      <c r="B9" s="42" t="s">
        <v>58</v>
      </c>
      <c r="C9" s="64" t="s">
        <v>19</v>
      </c>
    </row>
    <row r="10" spans="1:3" ht="25.15" customHeight="1">
      <c r="A10" s="65"/>
      <c r="B10" s="65"/>
      <c r="C10" s="66"/>
    </row>
    <row r="11" spans="1:3" ht="25.1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85</v>
      </c>
      <c r="C12" s="67"/>
    </row>
    <row r="13" spans="1:3" ht="30" customHeight="1">
      <c r="A13" s="5" t="s">
        <v>8</v>
      </c>
      <c r="B13" s="9" t="s">
        <v>91</v>
      </c>
      <c r="C13" s="64"/>
    </row>
    <row r="14" spans="1:3" ht="30" customHeight="1">
      <c r="A14" s="5" t="s">
        <v>20</v>
      </c>
      <c r="B14" s="11" t="s">
        <v>92</v>
      </c>
      <c r="C14" s="68"/>
    </row>
    <row r="16" spans="1:3" ht="91.9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20" zoomScaleNormal="20" zoomScaleSheetLayoutView="40" zoomScalePageLayoutView="30" workbookViewId="0">
      <pane xSplit="4" ySplit="6" topLeftCell="E7" activePane="bottomRight" state="frozenSplit"/>
      <selection pane="topRight" activeCell="E1" sqref="E1"/>
      <selection pane="bottomLeft" activeCell="A3" sqref="A3"/>
      <selection pane="bottomRight" activeCell="E7" sqref="E7"/>
    </sheetView>
  </sheetViews>
  <sheetFormatPr baseColWidth="10" defaultColWidth="10.625" defaultRowHeight="45" outlineLevelCol="1"/>
  <cols>
    <col min="1" max="1" width="31.125" style="103" bestFit="1" customWidth="1"/>
    <col min="2" max="2" width="35.875" style="104" customWidth="1" outlineLevel="1"/>
    <col min="3" max="3" width="92.75" style="105" customWidth="1"/>
    <col min="4" max="4" width="33.625" style="105" customWidth="1"/>
    <col min="5" max="5" width="100.375" style="105" customWidth="1"/>
    <col min="6" max="8" width="20.125" style="70" customWidth="1"/>
    <col min="9" max="9" width="27.125" style="70" customWidth="1"/>
    <col min="10" max="10" width="10.875" style="70" hidden="1" customWidth="1"/>
    <col min="11" max="11" width="100.375" style="105" customWidth="1"/>
    <col min="12" max="14" width="20.125" style="70" customWidth="1"/>
    <col min="15" max="15" width="23.875" style="70" customWidth="1"/>
    <col min="16" max="16" width="10.5" style="70" hidden="1" customWidth="1"/>
    <col min="17" max="17" width="100.375" style="105" customWidth="1"/>
    <col min="18" max="20" width="20.125" style="70" customWidth="1"/>
    <col min="21" max="21" width="23.625" style="70" customWidth="1"/>
    <col min="22" max="22" width="10.625" style="70" hidden="1" customWidth="1"/>
    <col min="23" max="23" width="100.375" style="105" customWidth="1"/>
    <col min="24" max="26" width="20.125" style="70" customWidth="1"/>
    <col min="27" max="27" width="22.375" style="70" customWidth="1"/>
    <col min="28" max="28" width="10.625" style="70" hidden="1" customWidth="1"/>
    <col min="29" max="29" width="100.375" style="105" customWidth="1"/>
    <col min="30" max="32" width="20.125" style="70" customWidth="1"/>
    <col min="33" max="33" width="23.125" style="70" customWidth="1"/>
    <col min="34" max="34" width="10.625" style="70" hidden="1" customWidth="1"/>
    <col min="35" max="35" width="26.875" style="70" customWidth="1"/>
    <col min="36" max="36" width="0.5" style="106" customWidth="1"/>
    <col min="37" max="37" width="9.375" style="69" customWidth="1"/>
    <col min="38" max="38" width="73.625" style="70" hidden="1" customWidth="1" outlineLevel="1"/>
    <col min="39" max="39" width="14.625" style="69" customWidth="1" collapsed="1"/>
    <col min="40" max="45" width="14.625" style="69" customWidth="1"/>
    <col min="46" max="16384" width="10.625" style="69"/>
  </cols>
  <sheetData>
    <row r="1" spans="1:38" ht="43.9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38" ht="94.1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8" ht="82.9" customHeight="1">
      <c r="A3" s="206" t="str">
        <f>CONCATENATE("MATCH DE QUALIFICATION"," - ",INFO!B7," - ",INFO!B9)</f>
        <v>MATCH DE QUALIFICATION - PISTOLET - AQUITAINE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</row>
    <row r="4" spans="1:38" ht="82.9" customHeight="1" thickBo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</row>
    <row r="5" spans="1:38" s="74" customFormat="1" ht="64.150000000000006" customHeight="1" thickTop="1">
      <c r="A5" s="215" t="s">
        <v>45</v>
      </c>
      <c r="B5" s="223" t="s">
        <v>49</v>
      </c>
      <c r="C5" s="217" t="s">
        <v>42</v>
      </c>
      <c r="D5" s="219" t="s">
        <v>47</v>
      </c>
      <c r="E5" s="71" t="s">
        <v>38</v>
      </c>
      <c r="F5" s="221" t="s">
        <v>39</v>
      </c>
      <c r="G5" s="221"/>
      <c r="H5" s="221"/>
      <c r="I5" s="221" t="s">
        <v>40</v>
      </c>
      <c r="J5" s="226" t="s">
        <v>52</v>
      </c>
      <c r="K5" s="72" t="s">
        <v>38</v>
      </c>
      <c r="L5" s="217" t="s">
        <v>39</v>
      </c>
      <c r="M5" s="217"/>
      <c r="N5" s="217"/>
      <c r="O5" s="217" t="s">
        <v>40</v>
      </c>
      <c r="P5" s="213" t="s">
        <v>52</v>
      </c>
      <c r="Q5" s="72" t="s">
        <v>38</v>
      </c>
      <c r="R5" s="217" t="s">
        <v>39</v>
      </c>
      <c r="S5" s="217"/>
      <c r="T5" s="217"/>
      <c r="U5" s="217" t="s">
        <v>40</v>
      </c>
      <c r="V5" s="211" t="s">
        <v>52</v>
      </c>
      <c r="W5" s="72" t="s">
        <v>38</v>
      </c>
      <c r="X5" s="217" t="s">
        <v>39</v>
      </c>
      <c r="Y5" s="217"/>
      <c r="Z5" s="217"/>
      <c r="AA5" s="217" t="s">
        <v>40</v>
      </c>
      <c r="AB5" s="213" t="s">
        <v>52</v>
      </c>
      <c r="AC5" s="72" t="s">
        <v>38</v>
      </c>
      <c r="AD5" s="217" t="s">
        <v>39</v>
      </c>
      <c r="AE5" s="217"/>
      <c r="AF5" s="217"/>
      <c r="AG5" s="217" t="s">
        <v>40</v>
      </c>
      <c r="AH5" s="213" t="s">
        <v>52</v>
      </c>
      <c r="AI5" s="224" t="s">
        <v>50</v>
      </c>
      <c r="AJ5" s="209" t="s">
        <v>44</v>
      </c>
      <c r="AK5" s="73"/>
      <c r="AL5" s="208" t="s">
        <v>43</v>
      </c>
    </row>
    <row r="6" spans="1:38" s="74" customFormat="1" ht="72" customHeight="1" thickBot="1">
      <c r="A6" s="216"/>
      <c r="B6" s="218"/>
      <c r="C6" s="218"/>
      <c r="D6" s="220"/>
      <c r="E6" s="75" t="s">
        <v>30</v>
      </c>
      <c r="F6" s="76">
        <v>1</v>
      </c>
      <c r="G6" s="76">
        <v>2</v>
      </c>
      <c r="H6" s="76">
        <v>3</v>
      </c>
      <c r="I6" s="222"/>
      <c r="J6" s="227"/>
      <c r="K6" s="77" t="s">
        <v>2</v>
      </c>
      <c r="L6" s="78">
        <v>1</v>
      </c>
      <c r="M6" s="78">
        <v>2</v>
      </c>
      <c r="N6" s="78">
        <v>3</v>
      </c>
      <c r="O6" s="218"/>
      <c r="P6" s="214"/>
      <c r="Q6" s="77" t="s">
        <v>3</v>
      </c>
      <c r="R6" s="78">
        <v>1</v>
      </c>
      <c r="S6" s="78">
        <v>2</v>
      </c>
      <c r="T6" s="78">
        <v>3</v>
      </c>
      <c r="U6" s="218"/>
      <c r="V6" s="212"/>
      <c r="W6" s="77" t="s">
        <v>4</v>
      </c>
      <c r="X6" s="78">
        <v>1</v>
      </c>
      <c r="Y6" s="78">
        <v>2</v>
      </c>
      <c r="Z6" s="78">
        <v>3</v>
      </c>
      <c r="AA6" s="218"/>
      <c r="AB6" s="214"/>
      <c r="AC6" s="77" t="s">
        <v>5</v>
      </c>
      <c r="AD6" s="78">
        <v>1</v>
      </c>
      <c r="AE6" s="78">
        <v>2</v>
      </c>
      <c r="AF6" s="78">
        <v>3</v>
      </c>
      <c r="AG6" s="218"/>
      <c r="AH6" s="214"/>
      <c r="AI6" s="225"/>
      <c r="AJ6" s="210"/>
      <c r="AL6" s="208"/>
    </row>
    <row r="7" spans="1:38" ht="120" customHeight="1" thickTop="1">
      <c r="A7" s="79">
        <v>1</v>
      </c>
      <c r="B7" s="131">
        <f t="shared" ref="B7:B26" si="0">RANK(AL7,$AL$7:$AL$26,0)</f>
        <v>4</v>
      </c>
      <c r="C7" s="80" t="s">
        <v>95</v>
      </c>
      <c r="D7" s="81">
        <v>264120</v>
      </c>
      <c r="E7" s="82" t="s">
        <v>61</v>
      </c>
      <c r="F7" s="134">
        <v>86</v>
      </c>
      <c r="G7" s="134">
        <v>88</v>
      </c>
      <c r="H7" s="134">
        <v>85</v>
      </c>
      <c r="I7" s="135">
        <f t="shared" ref="I7" si="1">SUM(F7:H7)</f>
        <v>259</v>
      </c>
      <c r="J7" s="83"/>
      <c r="K7" s="84" t="s">
        <v>62</v>
      </c>
      <c r="L7" s="134">
        <v>85</v>
      </c>
      <c r="M7" s="134">
        <v>86</v>
      </c>
      <c r="N7" s="140">
        <v>87</v>
      </c>
      <c r="O7" s="141">
        <f t="shared" ref="O7" si="2">SUM(L7:N7)</f>
        <v>258</v>
      </c>
      <c r="P7" s="85"/>
      <c r="Q7" s="84" t="s">
        <v>63</v>
      </c>
      <c r="R7" s="134">
        <v>93</v>
      </c>
      <c r="S7" s="134">
        <v>89</v>
      </c>
      <c r="T7" s="140">
        <v>84</v>
      </c>
      <c r="U7" s="141">
        <f t="shared" ref="U7" si="3">SUM(R7:T7)</f>
        <v>266</v>
      </c>
      <c r="V7" s="85"/>
      <c r="W7" s="84" t="s">
        <v>64</v>
      </c>
      <c r="X7" s="134">
        <v>78</v>
      </c>
      <c r="Y7" s="134">
        <v>84</v>
      </c>
      <c r="Z7" s="140">
        <v>89</v>
      </c>
      <c r="AA7" s="141">
        <f t="shared" ref="AA7" si="4">SUM(X7:Z7)</f>
        <v>251</v>
      </c>
      <c r="AB7" s="85"/>
      <c r="AC7" s="84" t="s">
        <v>65</v>
      </c>
      <c r="AD7" s="134">
        <v>80</v>
      </c>
      <c r="AE7" s="134">
        <v>87</v>
      </c>
      <c r="AF7" s="140">
        <v>84</v>
      </c>
      <c r="AG7" s="141">
        <f t="shared" ref="AG7" si="5">SUM(AD7:AF7)</f>
        <v>251</v>
      </c>
      <c r="AH7" s="85"/>
      <c r="AI7" s="146">
        <f>SUM(I7+O7+U7+AA7+AG7)</f>
        <v>1285</v>
      </c>
      <c r="AJ7" s="86">
        <f>J7+P7+V7+AB7+AH7</f>
        <v>0</v>
      </c>
      <c r="AL7" s="87">
        <f>I7+O7+U7+AA7+AG7+(0.000001*(J7+P7+V7+AB7+AH7))+(0.000000001*(H7+N7+T7+Z7+AF7))+(0.000000000001*(G7+M7+S7+Y7+AE7))</f>
        <v>1285.0000004294341</v>
      </c>
    </row>
    <row r="8" spans="1:38" ht="120" customHeight="1">
      <c r="A8" s="88">
        <v>2</v>
      </c>
      <c r="B8" s="132">
        <f t="shared" si="0"/>
        <v>1</v>
      </c>
      <c r="C8" s="89" t="s">
        <v>60</v>
      </c>
      <c r="D8" s="90">
        <v>264059</v>
      </c>
      <c r="E8" s="91" t="s">
        <v>66</v>
      </c>
      <c r="F8" s="136">
        <v>93</v>
      </c>
      <c r="G8" s="136">
        <v>95</v>
      </c>
      <c r="H8" s="136">
        <v>94</v>
      </c>
      <c r="I8" s="137">
        <f>SUM(F8:H8)</f>
        <v>282</v>
      </c>
      <c r="J8" s="92"/>
      <c r="K8" s="93" t="s">
        <v>67</v>
      </c>
      <c r="L8" s="136">
        <v>86</v>
      </c>
      <c r="M8" s="136">
        <v>85</v>
      </c>
      <c r="N8" s="142">
        <v>90</v>
      </c>
      <c r="O8" s="143">
        <f>SUM(L8:N8)</f>
        <v>261</v>
      </c>
      <c r="P8" s="94"/>
      <c r="Q8" s="93" t="s">
        <v>68</v>
      </c>
      <c r="R8" s="136">
        <v>96</v>
      </c>
      <c r="S8" s="136">
        <v>91</v>
      </c>
      <c r="T8" s="142">
        <v>93</v>
      </c>
      <c r="U8" s="143">
        <f>SUM(R8:T8)</f>
        <v>280</v>
      </c>
      <c r="V8" s="94"/>
      <c r="W8" s="93" t="s">
        <v>69</v>
      </c>
      <c r="X8" s="136">
        <v>88</v>
      </c>
      <c r="Y8" s="136">
        <v>88</v>
      </c>
      <c r="Z8" s="142">
        <v>90</v>
      </c>
      <c r="AA8" s="143">
        <f>SUM(X8:Z8)</f>
        <v>266</v>
      </c>
      <c r="AB8" s="94"/>
      <c r="AC8" s="93" t="s">
        <v>70</v>
      </c>
      <c r="AD8" s="136">
        <v>93</v>
      </c>
      <c r="AE8" s="136">
        <v>84</v>
      </c>
      <c r="AF8" s="142">
        <v>93</v>
      </c>
      <c r="AG8" s="143">
        <f>SUM(AD8:AF8)</f>
        <v>270</v>
      </c>
      <c r="AH8" s="94"/>
      <c r="AI8" s="147">
        <f>SUM(I8+O8+U8+AA8+AG8)</f>
        <v>1359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1359.0000004604428</v>
      </c>
    </row>
    <row r="9" spans="1:38" ht="120" customHeight="1">
      <c r="A9" s="88">
        <v>3</v>
      </c>
      <c r="B9" s="132">
        <f t="shared" si="0"/>
        <v>6</v>
      </c>
      <c r="C9" s="89" t="s">
        <v>96</v>
      </c>
      <c r="D9" s="90">
        <v>264120</v>
      </c>
      <c r="E9" s="91" t="s">
        <v>71</v>
      </c>
      <c r="F9" s="136">
        <v>86</v>
      </c>
      <c r="G9" s="136">
        <v>90</v>
      </c>
      <c r="H9" s="136">
        <v>79</v>
      </c>
      <c r="I9" s="137">
        <f>SUM(F9:H9)</f>
        <v>255</v>
      </c>
      <c r="J9" s="92"/>
      <c r="K9" s="93" t="s">
        <v>72</v>
      </c>
      <c r="L9" s="136">
        <v>80</v>
      </c>
      <c r="M9" s="136">
        <v>90</v>
      </c>
      <c r="N9" s="142">
        <v>82</v>
      </c>
      <c r="O9" s="143">
        <f>SUM(L9:N9)</f>
        <v>252</v>
      </c>
      <c r="P9" s="94"/>
      <c r="Q9" s="93" t="s">
        <v>93</v>
      </c>
      <c r="R9" s="136">
        <v>73</v>
      </c>
      <c r="S9" s="136">
        <v>62</v>
      </c>
      <c r="T9" s="142">
        <v>60</v>
      </c>
      <c r="U9" s="143">
        <f>SUM(R9:T9)</f>
        <v>195</v>
      </c>
      <c r="V9" s="94"/>
      <c r="W9" s="93" t="s">
        <v>73</v>
      </c>
      <c r="X9" s="136">
        <v>79</v>
      </c>
      <c r="Y9" s="136">
        <v>80</v>
      </c>
      <c r="Z9" s="142">
        <v>79</v>
      </c>
      <c r="AA9" s="143">
        <f>SUM(X9:Z9)</f>
        <v>238</v>
      </c>
      <c r="AB9" s="94"/>
      <c r="AC9" s="93" t="s">
        <v>74</v>
      </c>
      <c r="AD9" s="136">
        <v>86</v>
      </c>
      <c r="AE9" s="136">
        <v>83</v>
      </c>
      <c r="AF9" s="142">
        <v>88</v>
      </c>
      <c r="AG9" s="143">
        <f>SUM(AD9:AF9)</f>
        <v>257</v>
      </c>
      <c r="AH9" s="94"/>
      <c r="AI9" s="147">
        <f>SUM(I9+O9+U9+AA9+AG9)</f>
        <v>1197</v>
      </c>
      <c r="AJ9" s="95">
        <f t="shared" si="6"/>
        <v>0</v>
      </c>
      <c r="AL9" s="87">
        <f t="shared" si="7"/>
        <v>1197.0000003884049</v>
      </c>
    </row>
    <row r="10" spans="1:38" ht="120" customHeight="1">
      <c r="A10" s="88">
        <v>4</v>
      </c>
      <c r="B10" s="132">
        <f t="shared" si="0"/>
        <v>3</v>
      </c>
      <c r="C10" s="89" t="s">
        <v>75</v>
      </c>
      <c r="D10" s="90">
        <v>264062</v>
      </c>
      <c r="E10" s="91" t="s">
        <v>76</v>
      </c>
      <c r="F10" s="136">
        <v>91</v>
      </c>
      <c r="G10" s="136">
        <v>85</v>
      </c>
      <c r="H10" s="136">
        <v>92</v>
      </c>
      <c r="I10" s="137">
        <f t="shared" ref="I10:I26" si="8">SUM(F10:H10)</f>
        <v>268</v>
      </c>
      <c r="J10" s="92"/>
      <c r="K10" s="93" t="s">
        <v>77</v>
      </c>
      <c r="L10" s="136">
        <v>78</v>
      </c>
      <c r="M10" s="136">
        <v>84</v>
      </c>
      <c r="N10" s="142">
        <v>88</v>
      </c>
      <c r="O10" s="143">
        <f t="shared" ref="O10:O26" si="9">SUM(L10:N10)</f>
        <v>250</v>
      </c>
      <c r="P10" s="94"/>
      <c r="Q10" s="93" t="s">
        <v>78</v>
      </c>
      <c r="R10" s="136">
        <v>80</v>
      </c>
      <c r="S10" s="136">
        <v>86</v>
      </c>
      <c r="T10" s="142">
        <v>90</v>
      </c>
      <c r="U10" s="143">
        <f t="shared" ref="U10:U26" si="10">SUM(R10:T10)</f>
        <v>256</v>
      </c>
      <c r="V10" s="94"/>
      <c r="W10" s="93" t="s">
        <v>79</v>
      </c>
      <c r="X10" s="136">
        <v>91</v>
      </c>
      <c r="Y10" s="136">
        <v>83</v>
      </c>
      <c r="Z10" s="142">
        <v>75</v>
      </c>
      <c r="AA10" s="143">
        <f t="shared" ref="AA10:AA26" si="11">SUM(X10:Z10)</f>
        <v>249</v>
      </c>
      <c r="AB10" s="94"/>
      <c r="AC10" s="93" t="s">
        <v>80</v>
      </c>
      <c r="AD10" s="136">
        <v>89</v>
      </c>
      <c r="AE10" s="136">
        <v>90</v>
      </c>
      <c r="AF10" s="142">
        <v>88</v>
      </c>
      <c r="AG10" s="143">
        <f t="shared" ref="AG10:AG26" si="12">SUM(AD10:AF10)</f>
        <v>267</v>
      </c>
      <c r="AH10" s="94"/>
      <c r="AI10" s="147">
        <f t="shared" ref="AI10:AI26" si="13">SUM(I10+O10+U10+AA10+AG10)</f>
        <v>1290</v>
      </c>
      <c r="AJ10" s="95">
        <f t="shared" si="6"/>
        <v>0</v>
      </c>
      <c r="AL10" s="87">
        <f t="shared" si="7"/>
        <v>1290.0000004334279</v>
      </c>
    </row>
    <row r="11" spans="1:38" ht="120" customHeight="1">
      <c r="A11" s="88">
        <v>5</v>
      </c>
      <c r="B11" s="132">
        <f t="shared" si="0"/>
        <v>5</v>
      </c>
      <c r="C11" s="89" t="s">
        <v>97</v>
      </c>
      <c r="D11" s="90">
        <v>264120</v>
      </c>
      <c r="E11" s="91" t="s">
        <v>81</v>
      </c>
      <c r="F11" s="136">
        <v>74</v>
      </c>
      <c r="G11" s="136">
        <v>85</v>
      </c>
      <c r="H11" s="136">
        <v>74</v>
      </c>
      <c r="I11" s="137">
        <f t="shared" si="8"/>
        <v>233</v>
      </c>
      <c r="J11" s="92"/>
      <c r="K11" s="93" t="s">
        <v>82</v>
      </c>
      <c r="L11" s="136">
        <v>76</v>
      </c>
      <c r="M11" s="136">
        <v>84</v>
      </c>
      <c r="N11" s="142">
        <v>79</v>
      </c>
      <c r="O11" s="143">
        <f t="shared" si="9"/>
        <v>239</v>
      </c>
      <c r="P11" s="94"/>
      <c r="Q11" s="93" t="s">
        <v>83</v>
      </c>
      <c r="R11" s="136">
        <v>91</v>
      </c>
      <c r="S11" s="136">
        <v>91</v>
      </c>
      <c r="T11" s="142">
        <v>89</v>
      </c>
      <c r="U11" s="143">
        <f t="shared" si="10"/>
        <v>271</v>
      </c>
      <c r="V11" s="94"/>
      <c r="W11" s="93" t="s">
        <v>84</v>
      </c>
      <c r="X11" s="136">
        <v>88</v>
      </c>
      <c r="Y11" s="136">
        <v>90</v>
      </c>
      <c r="Z11" s="142">
        <v>83</v>
      </c>
      <c r="AA11" s="143">
        <f t="shared" si="11"/>
        <v>261</v>
      </c>
      <c r="AB11" s="94"/>
      <c r="AC11" s="93" t="s">
        <v>85</v>
      </c>
      <c r="AD11" s="136">
        <v>69</v>
      </c>
      <c r="AE11" s="136">
        <v>75</v>
      </c>
      <c r="AF11" s="142">
        <v>69</v>
      </c>
      <c r="AG11" s="143">
        <f t="shared" si="12"/>
        <v>213</v>
      </c>
      <c r="AH11" s="94"/>
      <c r="AI11" s="147">
        <f t="shared" si="13"/>
        <v>1217</v>
      </c>
      <c r="AJ11" s="95">
        <f t="shared" si="6"/>
        <v>0</v>
      </c>
      <c r="AL11" s="87">
        <f t="shared" si="7"/>
        <v>1217.0000003944249</v>
      </c>
    </row>
    <row r="12" spans="1:38" ht="120" customHeight="1">
      <c r="A12" s="88">
        <v>6</v>
      </c>
      <c r="B12" s="132">
        <f t="shared" si="0"/>
        <v>2</v>
      </c>
      <c r="C12" s="89" t="s">
        <v>86</v>
      </c>
      <c r="D12" s="90">
        <v>264302</v>
      </c>
      <c r="E12" s="91" t="s">
        <v>87</v>
      </c>
      <c r="F12" s="136">
        <v>90</v>
      </c>
      <c r="G12" s="136">
        <v>90</v>
      </c>
      <c r="H12" s="136">
        <v>93</v>
      </c>
      <c r="I12" s="137">
        <f t="shared" si="8"/>
        <v>273</v>
      </c>
      <c r="J12" s="92"/>
      <c r="K12" s="93" t="s">
        <v>94</v>
      </c>
      <c r="L12" s="136">
        <v>88</v>
      </c>
      <c r="M12" s="136">
        <v>90</v>
      </c>
      <c r="N12" s="142">
        <v>89</v>
      </c>
      <c r="O12" s="143">
        <f t="shared" si="9"/>
        <v>267</v>
      </c>
      <c r="P12" s="94"/>
      <c r="Q12" s="93" t="s">
        <v>88</v>
      </c>
      <c r="R12" s="136">
        <v>83</v>
      </c>
      <c r="S12" s="136">
        <v>81</v>
      </c>
      <c r="T12" s="142">
        <v>84</v>
      </c>
      <c r="U12" s="143">
        <f t="shared" si="10"/>
        <v>248</v>
      </c>
      <c r="V12" s="94"/>
      <c r="W12" s="93" t="s">
        <v>89</v>
      </c>
      <c r="X12" s="136">
        <v>89</v>
      </c>
      <c r="Y12" s="136">
        <v>91</v>
      </c>
      <c r="Z12" s="142">
        <v>93</v>
      </c>
      <c r="AA12" s="143">
        <f t="shared" si="11"/>
        <v>273</v>
      </c>
      <c r="AB12" s="94"/>
      <c r="AC12" s="93" t="s">
        <v>90</v>
      </c>
      <c r="AD12" s="136">
        <v>94</v>
      </c>
      <c r="AE12" s="136">
        <v>87</v>
      </c>
      <c r="AF12" s="142">
        <v>87</v>
      </c>
      <c r="AG12" s="143">
        <f t="shared" si="12"/>
        <v>268</v>
      </c>
      <c r="AH12" s="94"/>
      <c r="AI12" s="147">
        <f t="shared" si="13"/>
        <v>1329</v>
      </c>
      <c r="AJ12" s="95">
        <f t="shared" si="6"/>
        <v>0</v>
      </c>
      <c r="AL12" s="87">
        <f t="shared" si="7"/>
        <v>1329.0000004464391</v>
      </c>
    </row>
    <row r="13" spans="1:38" ht="120" customHeight="1">
      <c r="A13" s="88">
        <v>7</v>
      </c>
      <c r="B13" s="132">
        <f t="shared" si="0"/>
        <v>7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>
      <c r="A14" s="88">
        <v>8</v>
      </c>
      <c r="B14" s="132">
        <f t="shared" si="0"/>
        <v>7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7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7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7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7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7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7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7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7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7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7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7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7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75" thickTop="1"/>
  </sheetData>
  <sheetProtection password="CF6D" sheet="1" objects="1" scenarios="1" formatColumns="0" selectLockedCells="1"/>
  <mergeCells count="24">
    <mergeCell ref="X5:Z5"/>
    <mergeCell ref="AA5:AA6"/>
    <mergeCell ref="J5:J6"/>
    <mergeCell ref="P5:P6"/>
    <mergeCell ref="AH5:AH6"/>
    <mergeCell ref="AD5:AF5"/>
    <mergeCell ref="AG5:AG6"/>
    <mergeCell ref="U5:U6"/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25" defaultRowHeight="45"/>
  <cols>
    <col min="1" max="1" width="15.5" style="103" customWidth="1"/>
    <col min="2" max="2" width="62.125" style="105" customWidth="1"/>
    <col min="3" max="3" width="24" style="105" customWidth="1"/>
    <col min="4" max="4" width="54.125" style="105" customWidth="1"/>
    <col min="5" max="5" width="18.375" style="105" customWidth="1"/>
    <col min="6" max="7" width="18" style="105" customWidth="1"/>
    <col min="8" max="8" width="18.375" style="70" customWidth="1"/>
    <col min="9" max="9" width="10.625" style="70" hidden="1" customWidth="1"/>
    <col min="10" max="10" width="48.375" style="105" customWidth="1"/>
    <col min="11" max="11" width="18" style="105" customWidth="1"/>
    <col min="12" max="12" width="18.375" style="105" customWidth="1"/>
    <col min="13" max="13" width="17.5" style="105" customWidth="1"/>
    <col min="14" max="14" width="16.875" style="70" customWidth="1"/>
    <col min="15" max="15" width="10.625" style="70" hidden="1" customWidth="1"/>
    <col min="16" max="16" width="62.125" style="105" customWidth="1"/>
    <col min="17" max="17" width="18.375" style="105" customWidth="1"/>
    <col min="18" max="18" width="15.625" style="105" customWidth="1"/>
    <col min="19" max="19" width="17.5" style="105" customWidth="1"/>
    <col min="20" max="20" width="16.5" style="70" customWidth="1"/>
    <col min="21" max="21" width="10.625" style="70" hidden="1" customWidth="1"/>
    <col min="22" max="22" width="63.125" style="105" customWidth="1"/>
    <col min="23" max="23" width="18.375" style="105" customWidth="1"/>
    <col min="24" max="24" width="17.5" style="105" customWidth="1"/>
    <col min="25" max="25" width="18.625" style="105" customWidth="1"/>
    <col min="26" max="26" width="16.875" style="70" customWidth="1"/>
    <col min="27" max="27" width="10.625" style="70" hidden="1" customWidth="1"/>
    <col min="28" max="28" width="49" style="105" customWidth="1"/>
    <col min="29" max="29" width="17.5" style="105" customWidth="1"/>
    <col min="30" max="30" width="14.625" style="105" customWidth="1"/>
    <col min="31" max="31" width="17.125" style="105" customWidth="1"/>
    <col min="32" max="32" width="16.5" style="70" customWidth="1"/>
    <col min="33" max="33" width="10.875" style="70" hidden="1" customWidth="1"/>
    <col min="34" max="34" width="29.125" style="70" customWidth="1"/>
    <col min="35" max="35" width="19.125" style="171" hidden="1" customWidth="1"/>
    <col min="36" max="36" width="23.5" style="104" customWidth="1"/>
    <col min="37" max="91" width="15.125" style="69" customWidth="1"/>
    <col min="92" max="16384" width="10.625" style="69"/>
  </cols>
  <sheetData>
    <row r="1" spans="1:37" ht="94.1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.1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.15" customHeight="1">
      <c r="A3" s="238" t="str">
        <f>CONCATENATE("MATCH DE QUALIFICATION"," - ",INFO!B7," - ",INFO!B9)</f>
        <v>MATCH DE QUALIFICATION - PISTOLET - AQUITAINE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</row>
    <row r="4" spans="1:37" ht="84" customHeight="1" thickBo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149"/>
    </row>
    <row r="5" spans="1:37" ht="30" customHeight="1">
      <c r="A5" s="242" t="s">
        <v>49</v>
      </c>
      <c r="B5" s="248" t="s">
        <v>42</v>
      </c>
      <c r="C5" s="250" t="s">
        <v>47</v>
      </c>
      <c r="D5" s="228" t="s">
        <v>30</v>
      </c>
      <c r="E5" s="232" t="s">
        <v>53</v>
      </c>
      <c r="F5" s="233"/>
      <c r="G5" s="234"/>
      <c r="H5" s="244" t="s">
        <v>40</v>
      </c>
      <c r="I5" s="230" t="s">
        <v>52</v>
      </c>
      <c r="J5" s="228" t="s">
        <v>2</v>
      </c>
      <c r="K5" s="232" t="s">
        <v>53</v>
      </c>
      <c r="L5" s="233"/>
      <c r="M5" s="234"/>
      <c r="N5" s="244" t="s">
        <v>40</v>
      </c>
      <c r="O5" s="230" t="s">
        <v>52</v>
      </c>
      <c r="P5" s="228" t="s">
        <v>3</v>
      </c>
      <c r="Q5" s="232" t="s">
        <v>53</v>
      </c>
      <c r="R5" s="233"/>
      <c r="S5" s="234"/>
      <c r="T5" s="244" t="s">
        <v>40</v>
      </c>
      <c r="U5" s="230" t="s">
        <v>52</v>
      </c>
      <c r="V5" s="228" t="s">
        <v>4</v>
      </c>
      <c r="W5" s="232" t="s">
        <v>53</v>
      </c>
      <c r="X5" s="233"/>
      <c r="Y5" s="234"/>
      <c r="Z5" s="244" t="s">
        <v>40</v>
      </c>
      <c r="AA5" s="230" t="s">
        <v>52</v>
      </c>
      <c r="AB5" s="228" t="s">
        <v>5</v>
      </c>
      <c r="AC5" s="232" t="s">
        <v>53</v>
      </c>
      <c r="AD5" s="233"/>
      <c r="AE5" s="234"/>
      <c r="AF5" s="244" t="s">
        <v>40</v>
      </c>
      <c r="AG5" s="230" t="s">
        <v>52</v>
      </c>
      <c r="AH5" s="242" t="s">
        <v>43</v>
      </c>
      <c r="AI5" s="246" t="s">
        <v>55</v>
      </c>
      <c r="AJ5" s="240"/>
      <c r="AK5" s="150"/>
    </row>
    <row r="6" spans="1:37" ht="85.15" customHeight="1">
      <c r="A6" s="243"/>
      <c r="B6" s="249"/>
      <c r="C6" s="251"/>
      <c r="D6" s="229"/>
      <c r="E6" s="235"/>
      <c r="F6" s="236"/>
      <c r="G6" s="237"/>
      <c r="H6" s="245"/>
      <c r="I6" s="231"/>
      <c r="J6" s="229"/>
      <c r="K6" s="235"/>
      <c r="L6" s="236"/>
      <c r="M6" s="237"/>
      <c r="N6" s="245"/>
      <c r="O6" s="231"/>
      <c r="P6" s="229"/>
      <c r="Q6" s="235"/>
      <c r="R6" s="236"/>
      <c r="S6" s="237"/>
      <c r="T6" s="245"/>
      <c r="U6" s="231"/>
      <c r="V6" s="229"/>
      <c r="W6" s="235"/>
      <c r="X6" s="236"/>
      <c r="Y6" s="237"/>
      <c r="Z6" s="245"/>
      <c r="AA6" s="231"/>
      <c r="AB6" s="229"/>
      <c r="AC6" s="235"/>
      <c r="AD6" s="236"/>
      <c r="AE6" s="237"/>
      <c r="AF6" s="245"/>
      <c r="AG6" s="231"/>
      <c r="AH6" s="243"/>
      <c r="AI6" s="247"/>
      <c r="AJ6" s="241"/>
    </row>
    <row r="7" spans="1:37" ht="153" customHeight="1">
      <c r="A7" s="151">
        <v>1</v>
      </c>
      <c r="B7" s="152" t="str">
        <f>VLOOKUP(A7,saisie!B$7:AL$26,2,0)</f>
        <v>ST LONS</v>
      </c>
      <c r="C7" s="153">
        <f>VLOOKUP(A7,saisie!B$7:AL$26,3,0)</f>
        <v>264059</v>
      </c>
      <c r="D7" s="154" t="str">
        <f>VLOOKUP(A7,saisie!B$7:AL$26,4,0)</f>
        <v>PANTELEYEV KONSTANTIN</v>
      </c>
      <c r="E7" s="155">
        <f>VLOOKUP(A7,saisie!B$7:AL$26,5,0)</f>
        <v>93</v>
      </c>
      <c r="F7" s="155">
        <f>VLOOKUP(A7,saisie!B$7:AL$26,6,0)</f>
        <v>95</v>
      </c>
      <c r="G7" s="155">
        <f>VLOOKUP(A7,saisie!B$7:AL$26,7,0)</f>
        <v>94</v>
      </c>
      <c r="H7" s="156">
        <f>VLOOKUP(A7,saisie!B$7:AL$26,8,0)</f>
        <v>282</v>
      </c>
      <c r="I7" s="157">
        <f>VLOOKUP(A7,saisie!B$7:AL$26,9,0)</f>
        <v>0</v>
      </c>
      <c r="J7" s="154" t="str">
        <f>VLOOKUP(A7,saisie!B$7:AL$26,10,0)</f>
        <v>DUHAMELLE DENIS</v>
      </c>
      <c r="K7" s="155">
        <f>VLOOKUP(A7,saisie!B$7:AL$26,11,0)</f>
        <v>86</v>
      </c>
      <c r="L7" s="155">
        <f>VLOOKUP(A7,saisie!B$7:AL$26,12,0)</f>
        <v>85</v>
      </c>
      <c r="M7" s="155">
        <f>VLOOKUP(A7,saisie!B$7:AL$26,13,0)</f>
        <v>90</v>
      </c>
      <c r="N7" s="156">
        <f>VLOOKUP(A7,saisie!B$7:AL$26,14,0)</f>
        <v>261</v>
      </c>
      <c r="O7" s="157">
        <f>VLOOKUP(A7,saisie!B$7:AL$26,15,0)</f>
        <v>0</v>
      </c>
      <c r="P7" s="154" t="str">
        <f>VLOOKUP(A7,saisie!B$7:AL$26,16,0)</f>
        <v>DESTNAVE JEAN-FRANCOIS</v>
      </c>
      <c r="Q7" s="155">
        <f>VLOOKUP(A7,saisie!B$7:AL$26,17,0)</f>
        <v>96</v>
      </c>
      <c r="R7" s="155">
        <f>VLOOKUP(A7,saisie!B$7:AL$26,18,0)</f>
        <v>91</v>
      </c>
      <c r="S7" s="155">
        <f>VLOOKUP(A7,saisie!B$7:AL$26,19,0)</f>
        <v>93</v>
      </c>
      <c r="T7" s="156">
        <f>VLOOKUP(A7,saisie!B$7:AL$26,20,0)</f>
        <v>280</v>
      </c>
      <c r="U7" s="157">
        <f>VLOOKUP(A7,saisie!B$7:AL$26,21,0)</f>
        <v>0</v>
      </c>
      <c r="V7" s="154" t="str">
        <f>VLOOKUP(A7,saisie!B$7:AL$26,22,0)</f>
        <v>LUX LAURENT</v>
      </c>
      <c r="W7" s="155">
        <f>VLOOKUP(A7,saisie!B$7:AL$26,23,0)</f>
        <v>88</v>
      </c>
      <c r="X7" s="155">
        <f>VLOOKUP(A7,saisie!B$7:AL$26,24,0)</f>
        <v>88</v>
      </c>
      <c r="Y7" s="155">
        <f>VLOOKUP(A7,saisie!B$7:AL$26,25,0)</f>
        <v>90</v>
      </c>
      <c r="Z7" s="156">
        <f>VLOOKUP(A7,saisie!B$7:AL$26,26,0)</f>
        <v>266</v>
      </c>
      <c r="AA7" s="157">
        <f>VLOOKUP(A7,saisie!B$7:AL$26,27,0)</f>
        <v>0</v>
      </c>
      <c r="AB7" s="154" t="str">
        <f>VLOOKUP(A7,saisie!B$7:AL$26,28,0)</f>
        <v>BRENN MARJOLAINE</v>
      </c>
      <c r="AC7" s="155">
        <f>VLOOKUP(A7,saisie!B$7:AL$26,29,0)</f>
        <v>93</v>
      </c>
      <c r="AD7" s="155">
        <f>VLOOKUP(A7,saisie!B$7:AL$26,30,0)</f>
        <v>84</v>
      </c>
      <c r="AE7" s="155">
        <f>VLOOKUP(A7,saisie!B$7:AL$26,31,0)</f>
        <v>93</v>
      </c>
      <c r="AF7" s="156">
        <f>VLOOKUP(A7,saisie!B$7:AL$26,32,0)</f>
        <v>270</v>
      </c>
      <c r="AG7" s="157">
        <f>VLOOKUP(A7,saisie!B$7:AL$26,33,0)</f>
        <v>0</v>
      </c>
      <c r="AH7" s="151">
        <f>VLOOKUP(A7,saisie!B$7:AL$26,34,0)</f>
        <v>1359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PAS DE TIR DU VERT GALANT</v>
      </c>
      <c r="C8" s="153">
        <f>VLOOKUP(A8,saisie!B$7:AL$26,3,0)</f>
        <v>264302</v>
      </c>
      <c r="D8" s="154" t="str">
        <f>VLOOKUP(A8,saisie!B$7:AL$26,4,0)</f>
        <v>AMATI JEAN PASCAL</v>
      </c>
      <c r="E8" s="155">
        <f>VLOOKUP(A8,saisie!B$7:AL$26,5,0)</f>
        <v>90</v>
      </c>
      <c r="F8" s="155">
        <f>VLOOKUP(A8,saisie!B$7:AL$26,6,0)</f>
        <v>90</v>
      </c>
      <c r="G8" s="155">
        <f>VLOOKUP(A8,saisie!B$7:AL$26,7,0)</f>
        <v>93</v>
      </c>
      <c r="H8" s="156">
        <f>VLOOKUP(A8,saisie!B$7:AL$26,8,0)</f>
        <v>273</v>
      </c>
      <c r="I8" s="157">
        <f>VLOOKUP(A8,saisie!B$7:AL$26,9,0)</f>
        <v>0</v>
      </c>
      <c r="J8" s="154" t="str">
        <f>VLOOKUP(A8,saisie!B$7:AL$26,10,0)</f>
        <v>BACHACOU ROMAIN</v>
      </c>
      <c r="K8" s="155">
        <f>VLOOKUP(A8,saisie!B$7:AL$26,11,0)</f>
        <v>88</v>
      </c>
      <c r="L8" s="155">
        <f>VLOOKUP(A8,saisie!B$7:AL$26,12,0)</f>
        <v>90</v>
      </c>
      <c r="M8" s="155">
        <f>VLOOKUP(A8,saisie!B$7:AL$26,13,0)</f>
        <v>89</v>
      </c>
      <c r="N8" s="156">
        <f>VLOOKUP(A8,saisie!B$7:AL$26,14,0)</f>
        <v>267</v>
      </c>
      <c r="O8" s="157">
        <f>VLOOKUP(A8,saisie!B$7:AL$26,15,0)</f>
        <v>0</v>
      </c>
      <c r="P8" s="154" t="str">
        <f>VLOOKUP(A8,saisie!B$7:AL$26,16,0)</f>
        <v>BAJU JEAN ROBERT</v>
      </c>
      <c r="Q8" s="155">
        <f>VLOOKUP(A8,saisie!B$7:AL$26,17,0)</f>
        <v>83</v>
      </c>
      <c r="R8" s="155">
        <f>VLOOKUP(A8,saisie!B$7:AL$26,18,0)</f>
        <v>81</v>
      </c>
      <c r="S8" s="155">
        <f>VLOOKUP(A8,saisie!B$7:AL$26,19,0)</f>
        <v>84</v>
      </c>
      <c r="T8" s="156">
        <f>VLOOKUP(A8,saisie!B$7:AL$26,20,0)</f>
        <v>248</v>
      </c>
      <c r="U8" s="157">
        <f>VLOOKUP(A8,saisie!B$7:AL$26,21,0)</f>
        <v>0</v>
      </c>
      <c r="V8" s="154" t="str">
        <f>VLOOKUP(A8,saisie!B$7:AL$26,22,0)</f>
        <v>SUCERE MARIE</v>
      </c>
      <c r="W8" s="155">
        <f>VLOOKUP(A8,saisie!B$7:AL$26,23,0)</f>
        <v>89</v>
      </c>
      <c r="X8" s="155">
        <f>VLOOKUP(A8,saisie!B$7:AL$26,24,0)</f>
        <v>91</v>
      </c>
      <c r="Y8" s="155">
        <f>VLOOKUP(A8,saisie!B$7:AL$26,25,0)</f>
        <v>93</v>
      </c>
      <c r="Z8" s="156">
        <f>VLOOKUP(A8,saisie!B$7:AL$26,26,0)</f>
        <v>273</v>
      </c>
      <c r="AA8" s="157">
        <f>VLOOKUP(A8,saisie!B$7:AL$26,27,0)</f>
        <v>0</v>
      </c>
      <c r="AB8" s="154" t="str">
        <f>VLOOKUP(A8,saisie!B$7:AL$26,28,0)</f>
        <v>CWERNER BENOIT</v>
      </c>
      <c r="AC8" s="155">
        <f>VLOOKUP(A8,saisie!B$7:AL$26,29,0)</f>
        <v>94</v>
      </c>
      <c r="AD8" s="155">
        <f>VLOOKUP(A8,saisie!B$7:AL$26,30,0)</f>
        <v>87</v>
      </c>
      <c r="AE8" s="155">
        <f>VLOOKUP(A8,saisie!B$7:AL$26,31,0)</f>
        <v>87</v>
      </c>
      <c r="AF8" s="156">
        <f>VLOOKUP(A8,saisie!B$7:AL$26,32,0)</f>
        <v>268</v>
      </c>
      <c r="AG8" s="157">
        <f>VLOOKUP(A8,saisie!B$7:AL$26,33,0)</f>
        <v>0</v>
      </c>
      <c r="AH8" s="151">
        <f>VLOOKUP(A8,saisie!B$7:AL$26,34,0)</f>
        <v>1329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FT MONT</v>
      </c>
      <c r="C9" s="153">
        <f>VLOOKUP(A9,saisie!B$7:AL$26,3,0)</f>
        <v>264062</v>
      </c>
      <c r="D9" s="154" t="str">
        <f>VLOOKUP(A9,saisie!B$7:AL$26,4,0)</f>
        <v>WALKER MELANIE</v>
      </c>
      <c r="E9" s="155">
        <f>VLOOKUP(A9,saisie!B$7:AL$26,5,0)</f>
        <v>91</v>
      </c>
      <c r="F9" s="155">
        <f>VLOOKUP(A9,saisie!B$7:AL$26,6,0)</f>
        <v>85</v>
      </c>
      <c r="G9" s="155">
        <f>VLOOKUP(A9,saisie!B$7:AL$26,7,0)</f>
        <v>92</v>
      </c>
      <c r="H9" s="156">
        <f>VLOOKUP(A9,saisie!B$7:AL$26,8,0)</f>
        <v>268</v>
      </c>
      <c r="I9" s="157">
        <f>VLOOKUP(A9,saisie!B$7:AL$26,9,0)</f>
        <v>0</v>
      </c>
      <c r="J9" s="154" t="str">
        <f>VLOOKUP(A9,saisie!B$7:AL$26,10,0)</f>
        <v>LATOUR LAURENT</v>
      </c>
      <c r="K9" s="155">
        <f>VLOOKUP(A9,saisie!B$7:AL$26,11,0)</f>
        <v>78</v>
      </c>
      <c r="L9" s="155">
        <f>VLOOKUP(A9,saisie!B$7:AL$26,12,0)</f>
        <v>84</v>
      </c>
      <c r="M9" s="155">
        <f>VLOOKUP(A9,saisie!B$7:AL$26,13,0)</f>
        <v>88</v>
      </c>
      <c r="N9" s="156">
        <f>VLOOKUP(A9,saisie!B$7:AL$26,14,0)</f>
        <v>250</v>
      </c>
      <c r="O9" s="157">
        <f>VLOOKUP(A9,saisie!B$7:AL$26,15,0)</f>
        <v>0</v>
      </c>
      <c r="P9" s="154" t="str">
        <f>VLOOKUP(A9,saisie!B$7:AL$26,16,0)</f>
        <v>LAFARGUE YOANN</v>
      </c>
      <c r="Q9" s="155">
        <f>VLOOKUP(A9,saisie!B$7:AL$26,17,0)</f>
        <v>80</v>
      </c>
      <c r="R9" s="155">
        <f>VLOOKUP(A9,saisie!B$7:AL$26,18,0)</f>
        <v>86</v>
      </c>
      <c r="S9" s="155">
        <f>VLOOKUP(A9,saisie!B$7:AL$26,19,0)</f>
        <v>90</v>
      </c>
      <c r="T9" s="156">
        <f>VLOOKUP(A9,saisie!B$7:AL$26,20,0)</f>
        <v>256</v>
      </c>
      <c r="U9" s="157">
        <f>VLOOKUP(A9,saisie!B$7:AL$26,21,0)</f>
        <v>0</v>
      </c>
      <c r="V9" s="154" t="str">
        <f>VLOOKUP(A9,saisie!B$7:AL$26,22,0)</f>
        <v>LASCARAY THIERRY</v>
      </c>
      <c r="W9" s="155">
        <f>VLOOKUP(A9,saisie!B$7:AL$26,23,0)</f>
        <v>91</v>
      </c>
      <c r="X9" s="155">
        <f>VLOOKUP(A9,saisie!B$7:AL$26,24,0)</f>
        <v>83</v>
      </c>
      <c r="Y9" s="155">
        <f>VLOOKUP(A9,saisie!B$7:AL$26,25,0)</f>
        <v>75</v>
      </c>
      <c r="Z9" s="156">
        <f>VLOOKUP(A9,saisie!B$7:AL$26,26,0)</f>
        <v>249</v>
      </c>
      <c r="AA9" s="157">
        <f>VLOOKUP(A9,saisie!B$7:AL$26,27,0)</f>
        <v>0</v>
      </c>
      <c r="AB9" s="154" t="str">
        <f>VLOOKUP(A9,saisie!B$7:AL$26,28,0)</f>
        <v>PETIT SEBASTIEN</v>
      </c>
      <c r="AC9" s="155">
        <f>VLOOKUP(A9,saisie!B$7:AL$26,29,0)</f>
        <v>89</v>
      </c>
      <c r="AD9" s="155">
        <f>VLOOKUP(A9,saisie!B$7:AL$26,30,0)</f>
        <v>90</v>
      </c>
      <c r="AE9" s="155">
        <f>VLOOKUP(A9,saisie!B$7:AL$26,31,0)</f>
        <v>88</v>
      </c>
      <c r="AF9" s="156">
        <f>VLOOKUP(A9,saisie!B$7:AL$26,32,0)</f>
        <v>267</v>
      </c>
      <c r="AG9" s="157">
        <f>VLOOKUP(A9,saisie!B$7:AL$26,33,0)</f>
        <v>0</v>
      </c>
      <c r="AH9" s="151">
        <f>VLOOKUP(A9,saisie!B$7:AL$26,34,0)</f>
        <v>1290</v>
      </c>
      <c r="AI9" s="158">
        <f>VLOOKUP(A9,saisie!B$7:AL$26,35,0)</f>
        <v>0</v>
      </c>
      <c r="AJ9" s="159"/>
    </row>
    <row r="10" spans="1:37" ht="153" customHeight="1">
      <c r="A10" s="151">
        <f>IF(INFO!B8&gt;3,4,"")</f>
        <v>4</v>
      </c>
      <c r="B10" s="152" t="str">
        <f>VLOOKUP(A10,saisie!B$7:AL$26,2,0)</f>
        <v>ST CIBOURE 1</v>
      </c>
      <c r="C10" s="153">
        <f>VLOOKUP(A10,saisie!B$7:AL$26,3,0)</f>
        <v>264120</v>
      </c>
      <c r="D10" s="154" t="str">
        <f>VLOOKUP(A10,saisie!B$7:AL$26,4,0)</f>
        <v>ACHOTEGUI RICHARD</v>
      </c>
      <c r="E10" s="155">
        <f>VLOOKUP(A10,saisie!B$7:AL$26,5,0)</f>
        <v>86</v>
      </c>
      <c r="F10" s="155">
        <f>VLOOKUP(A10,saisie!B$7:AL$26,6,0)</f>
        <v>88</v>
      </c>
      <c r="G10" s="155">
        <f>VLOOKUP(A10,saisie!B$7:AL$26,7,0)</f>
        <v>85</v>
      </c>
      <c r="H10" s="156">
        <f>VLOOKUP(A10,saisie!B$7:AL$26,8,0)</f>
        <v>259</v>
      </c>
      <c r="I10" s="157">
        <f>VLOOKUP(A10,saisie!B$7:AL$26,9,0)</f>
        <v>0</v>
      </c>
      <c r="J10" s="154" t="str">
        <f>VLOOKUP(A10,saisie!B$7:AL$26,10,0)</f>
        <v>KEOKINNALY HANSAY</v>
      </c>
      <c r="K10" s="155">
        <f>VLOOKUP(A10,saisie!B$7:AL$26,11,0)</f>
        <v>85</v>
      </c>
      <c r="L10" s="155">
        <f>VLOOKUP(A10,saisie!B$7:AL$26,12,0)</f>
        <v>86</v>
      </c>
      <c r="M10" s="155">
        <f>VLOOKUP(A10,saisie!B$7:AL$26,13,0)</f>
        <v>87</v>
      </c>
      <c r="N10" s="156">
        <f>VLOOKUP(A10,saisie!B$7:AL$26,14,0)</f>
        <v>258</v>
      </c>
      <c r="O10" s="157">
        <f>VLOOKUP(A10,saisie!B$7:AL$26,15,0)</f>
        <v>0</v>
      </c>
      <c r="P10" s="154" t="str">
        <f>VLOOKUP(A10,saisie!B$7:AL$26,16,0)</f>
        <v>ROUQUETTE JEAN-LOUIS</v>
      </c>
      <c r="Q10" s="155">
        <f>VLOOKUP(A10,saisie!B$7:AL$26,17,0)</f>
        <v>93</v>
      </c>
      <c r="R10" s="155">
        <f>VLOOKUP(A10,saisie!B$7:AL$26,18,0)</f>
        <v>89</v>
      </c>
      <c r="S10" s="155">
        <f>VLOOKUP(A10,saisie!B$7:AL$26,19,0)</f>
        <v>84</v>
      </c>
      <c r="T10" s="156">
        <f>VLOOKUP(A10,saisie!B$7:AL$26,20,0)</f>
        <v>266</v>
      </c>
      <c r="U10" s="157">
        <f>VLOOKUP(A10,saisie!B$7:AL$26,21,0)</f>
        <v>0</v>
      </c>
      <c r="V10" s="154" t="str">
        <f>VLOOKUP(A10,saisie!B$7:AL$26,22,0)</f>
        <v>BOULENGUIEZ JULIEN</v>
      </c>
      <c r="W10" s="155">
        <f>VLOOKUP(A10,saisie!B$7:AL$26,23,0)</f>
        <v>78</v>
      </c>
      <c r="X10" s="155">
        <f>VLOOKUP(A10,saisie!B$7:AL$26,24,0)</f>
        <v>84</v>
      </c>
      <c r="Y10" s="155">
        <f>VLOOKUP(A10,saisie!B$7:AL$26,25,0)</f>
        <v>89</v>
      </c>
      <c r="Z10" s="156">
        <f>VLOOKUP(A10,saisie!B$7:AL$26,26,0)</f>
        <v>251</v>
      </c>
      <c r="AA10" s="157">
        <f>VLOOKUP(A10,saisie!B$7:AL$26,27,0)</f>
        <v>0</v>
      </c>
      <c r="AB10" s="154" t="str">
        <f>VLOOKUP(A10,saisie!B$7:AL$26,28,0)</f>
        <v>TAILLEUR DAMIEN</v>
      </c>
      <c r="AC10" s="155">
        <f>VLOOKUP(A10,saisie!B$7:AL$26,29,0)</f>
        <v>80</v>
      </c>
      <c r="AD10" s="155">
        <f>VLOOKUP(A10,saisie!B$7:AL$26,30,0)</f>
        <v>87</v>
      </c>
      <c r="AE10" s="155">
        <f>VLOOKUP(A10,saisie!B$7:AL$26,31,0)</f>
        <v>84</v>
      </c>
      <c r="AF10" s="156">
        <f>VLOOKUP(A10,saisie!B$7:AL$26,32,0)</f>
        <v>251</v>
      </c>
      <c r="AG10" s="157">
        <f>VLOOKUP(A10,saisie!B$7:AL$26,33,0)</f>
        <v>0</v>
      </c>
      <c r="AH10" s="151">
        <f>VLOOKUP(A10,saisie!B$7:AL$26,34,0)</f>
        <v>1285</v>
      </c>
      <c r="AI10" s="158">
        <f>VLOOKUP(A10,saisie!B$7:AL$26,35,0)</f>
        <v>0</v>
      </c>
      <c r="AJ10" s="159"/>
    </row>
    <row r="11" spans="1:37" ht="153" customHeight="1">
      <c r="A11" s="151">
        <f>IF(INFO!B8&gt;4,5,"")</f>
        <v>5</v>
      </c>
      <c r="B11" s="152" t="str">
        <f>VLOOKUP(A11,saisie!B$7:AL$26,2,0)</f>
        <v>ST CIBOURE 3</v>
      </c>
      <c r="C11" s="153">
        <f>VLOOKUP(A11,saisie!B$7:AL$26,3,0)</f>
        <v>264120</v>
      </c>
      <c r="D11" s="154" t="str">
        <f>VLOOKUP(A11,saisie!B$7:AL$26,4,0)</f>
        <v>HIGOA BOURDILLAT MAEL</v>
      </c>
      <c r="E11" s="155">
        <f>VLOOKUP(A11,saisie!B$7:AL$26,5,0)</f>
        <v>74</v>
      </c>
      <c r="F11" s="155">
        <f>VLOOKUP(A11,saisie!B$7:AL$26,6,0)</f>
        <v>85</v>
      </c>
      <c r="G11" s="155">
        <f>VLOOKUP(A11,saisie!B$7:AL$26,7,0)</f>
        <v>74</v>
      </c>
      <c r="H11" s="156">
        <f>VLOOKUP(A11,saisie!B$7:AL$26,8,0)</f>
        <v>233</v>
      </c>
      <c r="I11" s="157">
        <f>VLOOKUP(A11,saisie!B$7:AL$26,9,0)</f>
        <v>0</v>
      </c>
      <c r="J11" s="154" t="str">
        <f>VLOOKUP(A11,saisie!B$7:AL$26,10,0)</f>
        <v>HIGOA BOURDILLAT LILOU</v>
      </c>
      <c r="K11" s="155">
        <f>VLOOKUP(A11,saisie!B$7:AL$26,11,0)</f>
        <v>76</v>
      </c>
      <c r="L11" s="155">
        <f>VLOOKUP(A11,saisie!B$7:AL$26,12,0)</f>
        <v>84</v>
      </c>
      <c r="M11" s="155">
        <f>VLOOKUP(A11,saisie!B$7:AL$26,13,0)</f>
        <v>79</v>
      </c>
      <c r="N11" s="156">
        <f>VLOOKUP(A11,saisie!B$7:AL$26,14,0)</f>
        <v>239</v>
      </c>
      <c r="O11" s="157">
        <f>VLOOKUP(A11,saisie!B$7:AL$26,15,0)</f>
        <v>0</v>
      </c>
      <c r="P11" s="154" t="str">
        <f>VLOOKUP(A11,saisie!B$7:AL$26,16,0)</f>
        <v>CRESPO AGUIRRE ROGER</v>
      </c>
      <c r="Q11" s="155">
        <f>VLOOKUP(A11,saisie!B$7:AL$26,17,0)</f>
        <v>91</v>
      </c>
      <c r="R11" s="155">
        <f>VLOOKUP(A11,saisie!B$7:AL$26,18,0)</f>
        <v>91</v>
      </c>
      <c r="S11" s="155">
        <f>VLOOKUP(A11,saisie!B$7:AL$26,19,0)</f>
        <v>89</v>
      </c>
      <c r="T11" s="156">
        <f>VLOOKUP(A11,saisie!B$7:AL$26,20,0)</f>
        <v>271</v>
      </c>
      <c r="U11" s="157">
        <f>VLOOKUP(A11,saisie!B$7:AL$26,21,0)</f>
        <v>0</v>
      </c>
      <c r="V11" s="154" t="str">
        <f>VLOOKUP(A11,saisie!B$7:AL$26,22,0)</f>
        <v>MEURTIN VINCENT</v>
      </c>
      <c r="W11" s="155">
        <f>VLOOKUP(A11,saisie!B$7:AL$26,23,0)</f>
        <v>88</v>
      </c>
      <c r="X11" s="155">
        <f>VLOOKUP(A11,saisie!B$7:AL$26,24,0)</f>
        <v>90</v>
      </c>
      <c r="Y11" s="155">
        <f>VLOOKUP(A11,saisie!B$7:AL$26,25,0)</f>
        <v>83</v>
      </c>
      <c r="Z11" s="156">
        <f>VLOOKUP(A11,saisie!B$7:AL$26,26,0)</f>
        <v>261</v>
      </c>
      <c r="AA11" s="157">
        <f>VLOOKUP(A11,saisie!B$7:AL$26,27,0)</f>
        <v>0</v>
      </c>
      <c r="AB11" s="154" t="str">
        <f>VLOOKUP(A11,saisie!B$7:AL$26,28,0)</f>
        <v>GARIVET PATRICK</v>
      </c>
      <c r="AC11" s="155">
        <f>VLOOKUP(A11,saisie!B$7:AL$26,29,0)</f>
        <v>69</v>
      </c>
      <c r="AD11" s="155">
        <f>VLOOKUP(A11,saisie!B$7:AL$26,30,0)</f>
        <v>75</v>
      </c>
      <c r="AE11" s="155">
        <f>VLOOKUP(A11,saisie!B$7:AL$26,31,0)</f>
        <v>69</v>
      </c>
      <c r="AF11" s="156">
        <f>VLOOKUP(A11,saisie!B$7:AL$26,32,0)</f>
        <v>213</v>
      </c>
      <c r="AG11" s="157">
        <f>VLOOKUP(A11,saisie!B$7:AL$26,33,0)</f>
        <v>0</v>
      </c>
      <c r="AH11" s="151">
        <f>VLOOKUP(A11,saisie!B$7:AL$26,34,0)</f>
        <v>1217</v>
      </c>
      <c r="AI11" s="158">
        <f>VLOOKUP(A11,saisie!B$7:AL$26,35,0)</f>
        <v>0</v>
      </c>
      <c r="AJ11" s="159"/>
    </row>
    <row r="12" spans="1:37" ht="153" customHeight="1">
      <c r="A12" s="151">
        <f>IF(INFO!B8&gt;5,6,"")</f>
        <v>6</v>
      </c>
      <c r="B12" s="152" t="str">
        <f>VLOOKUP(A12,saisie!B$7:AL$26,2,0)</f>
        <v>ST CIBOURE 2</v>
      </c>
      <c r="C12" s="153">
        <f>VLOOKUP(A12,saisie!B$7:AL$26,3,0)</f>
        <v>264120</v>
      </c>
      <c r="D12" s="154" t="str">
        <f>VLOOKUP(A12,saisie!B$7:AL$26,4,0)</f>
        <v>PARNAUT MICKAEL</v>
      </c>
      <c r="E12" s="155">
        <f>VLOOKUP(A12,saisie!B$7:AL$26,5,0)</f>
        <v>86</v>
      </c>
      <c r="F12" s="155">
        <f>VLOOKUP(A12,saisie!B$7:AL$26,6,0)</f>
        <v>90</v>
      </c>
      <c r="G12" s="155">
        <f>VLOOKUP(A12,saisie!B$7:AL$26,7,0)</f>
        <v>79</v>
      </c>
      <c r="H12" s="156">
        <f>VLOOKUP(A12,saisie!B$7:AL$26,8,0)</f>
        <v>255</v>
      </c>
      <c r="I12" s="157">
        <f>VLOOKUP(A12,saisie!B$7:AL$26,9,0)</f>
        <v>0</v>
      </c>
      <c r="J12" s="154" t="str">
        <f>VLOOKUP(A12,saisie!B$7:AL$26,10,0)</f>
        <v>DE AIZPURUA CHAON NORA</v>
      </c>
      <c r="K12" s="155">
        <f>VLOOKUP(A12,saisie!B$7:AL$26,11,0)</f>
        <v>80</v>
      </c>
      <c r="L12" s="155">
        <f>VLOOKUP(A12,saisie!B$7:AL$26,12,0)</f>
        <v>90</v>
      </c>
      <c r="M12" s="155">
        <f>VLOOKUP(A12,saisie!B$7:AL$26,13,0)</f>
        <v>82</v>
      </c>
      <c r="N12" s="156">
        <f>VLOOKUP(A12,saisie!B$7:AL$26,14,0)</f>
        <v>252</v>
      </c>
      <c r="O12" s="157">
        <f>VLOOKUP(A12,saisie!B$7:AL$26,15,0)</f>
        <v>0</v>
      </c>
      <c r="P12" s="154" t="str">
        <f>VLOOKUP(A12,saisie!B$7:AL$26,16,0)</f>
        <v>ROCHER MICKAEL</v>
      </c>
      <c r="Q12" s="155">
        <f>VLOOKUP(A12,saisie!B$7:AL$26,17,0)</f>
        <v>73</v>
      </c>
      <c r="R12" s="155">
        <f>VLOOKUP(A12,saisie!B$7:AL$26,18,0)</f>
        <v>62</v>
      </c>
      <c r="S12" s="155">
        <f>VLOOKUP(A12,saisie!B$7:AL$26,19,0)</f>
        <v>60</v>
      </c>
      <c r="T12" s="156">
        <f>VLOOKUP(A12,saisie!B$7:AL$26,20,0)</f>
        <v>195</v>
      </c>
      <c r="U12" s="157">
        <f>VLOOKUP(A12,saisie!B$7:AL$26,21,0)</f>
        <v>0</v>
      </c>
      <c r="V12" s="154" t="str">
        <f>VLOOKUP(A12,saisie!B$7:AL$26,22,0)</f>
        <v>SIERRA PIERRE</v>
      </c>
      <c r="W12" s="155">
        <f>VLOOKUP(A12,saisie!B$7:AL$26,23,0)</f>
        <v>79</v>
      </c>
      <c r="X12" s="155">
        <f>VLOOKUP(A12,saisie!B$7:AL$26,24,0)</f>
        <v>80</v>
      </c>
      <c r="Y12" s="155">
        <f>VLOOKUP(A12,saisie!B$7:AL$26,25,0)</f>
        <v>79</v>
      </c>
      <c r="Z12" s="156">
        <f>VLOOKUP(A12,saisie!B$7:AL$26,26,0)</f>
        <v>238</v>
      </c>
      <c r="AA12" s="157">
        <f>VLOOKUP(A12,saisie!B$7:AL$26,27,0)</f>
        <v>0</v>
      </c>
      <c r="AB12" s="154" t="str">
        <f>VLOOKUP(A12,saisie!B$7:AL$26,28,0)</f>
        <v>ROSSARD JULIEN</v>
      </c>
      <c r="AC12" s="155">
        <f>VLOOKUP(A12,saisie!B$7:AL$26,29,0)</f>
        <v>86</v>
      </c>
      <c r="AD12" s="155">
        <f>VLOOKUP(A12,saisie!B$7:AL$26,30,0)</f>
        <v>83</v>
      </c>
      <c r="AE12" s="155">
        <f>VLOOKUP(A12,saisie!B$7:AL$26,31,0)</f>
        <v>88</v>
      </c>
      <c r="AF12" s="156">
        <f>VLOOKUP(A12,saisie!B$7:AL$26,32,0)</f>
        <v>257</v>
      </c>
      <c r="AG12" s="157">
        <f>VLOOKUP(A12,saisie!B$7:AL$26,33,0)</f>
        <v>0</v>
      </c>
      <c r="AH12" s="151">
        <f>VLOOKUP(A12,saisie!B$7:AL$26,34,0)</f>
        <v>1197</v>
      </c>
      <c r="AI12" s="158">
        <f>VLOOKUP(A12,saisie!B$7:AL$26,35,0)</f>
        <v>0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.1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.1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.1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.1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.1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.1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.1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.1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.1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.1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.1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.1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.1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.1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.1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.1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.1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.1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.1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.1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  <mergeCell ref="AG5:AG6"/>
    <mergeCell ref="E5:G6"/>
    <mergeCell ref="K5:M6"/>
    <mergeCell ref="Q5:S6"/>
    <mergeCell ref="W5:Y6"/>
    <mergeCell ref="AC5:AE6"/>
    <mergeCell ref="D5:D6"/>
    <mergeCell ref="J5:J6"/>
    <mergeCell ref="P5:P6"/>
    <mergeCell ref="V5:V6"/>
    <mergeCell ref="AB5:AB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75" defaultRowHeight="15"/>
  <cols>
    <col min="1" max="1" width="15.375" style="1" bestFit="1" customWidth="1"/>
    <col min="2" max="2" width="25.625" style="1" customWidth="1"/>
    <col min="3" max="5" width="8.625" style="1" customWidth="1"/>
    <col min="6" max="6" width="8.5" style="1" bestFit="1" customWidth="1"/>
    <col min="7" max="7" width="8.5" style="1" customWidth="1"/>
    <col min="8" max="8" width="3.625" style="1" customWidth="1"/>
    <col min="9" max="9" width="15.375" style="1" bestFit="1" customWidth="1"/>
    <col min="10" max="10" width="25.625" style="1" customWidth="1"/>
    <col min="11" max="13" width="8.625" style="1" customWidth="1"/>
    <col min="14" max="14" width="8.5" style="1" customWidth="1"/>
    <col min="15" max="15" width="5.625" style="1" customWidth="1"/>
    <col min="16" max="16384" width="6.875" style="1"/>
  </cols>
  <sheetData>
    <row r="1" spans="1:15" ht="22.15" customHeight="1">
      <c r="A1" s="51"/>
      <c r="B1" s="52" t="s">
        <v>14</v>
      </c>
      <c r="C1" s="51" t="str">
        <f>'M Q'!B7</f>
        <v>ST LONS</v>
      </c>
      <c r="D1" s="51"/>
      <c r="E1" s="51"/>
      <c r="F1" s="51">
        <f>'M Q'!AH7</f>
        <v>1359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.1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15" customHeight="1">
      <c r="A3" s="54">
        <f>F3+0.0001*G3+0.0000001*E3+0.0000000001*D3</f>
        <v>282.00000940950002</v>
      </c>
      <c r="B3" s="52" t="str">
        <f>'M Q'!D7</f>
        <v>PANTELEYEV KONSTANTIN</v>
      </c>
      <c r="C3" s="51">
        <f>'M Q'!E7</f>
        <v>93</v>
      </c>
      <c r="D3" s="51">
        <f>'M Q'!F7</f>
        <v>95</v>
      </c>
      <c r="E3" s="51">
        <f>'M Q'!G7</f>
        <v>94</v>
      </c>
      <c r="F3" s="51">
        <f>'M Q'!H7</f>
        <v>282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.15" customHeight="1">
      <c r="A4" s="54">
        <f>F4+0.0001*G4+0.0000001*E4+0.0000000001*D4</f>
        <v>261.0000090085</v>
      </c>
      <c r="B4" s="52" t="str">
        <f>'M Q'!J7</f>
        <v>DUHAMELLE DENIS</v>
      </c>
      <c r="C4" s="51">
        <f>'M Q'!K7</f>
        <v>86</v>
      </c>
      <c r="D4" s="51">
        <f>'M Q'!L7</f>
        <v>85</v>
      </c>
      <c r="E4" s="51">
        <f>'M Q'!M7</f>
        <v>90</v>
      </c>
      <c r="F4" s="51">
        <f>'M Q'!N7</f>
        <v>261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.15" customHeight="1">
      <c r="A5" s="54">
        <f>F5+0.0001*G5+0.0000001*E5+0.0000000001*D5</f>
        <v>280.00000930909999</v>
      </c>
      <c r="B5" s="52" t="str">
        <f>'M Q'!P7</f>
        <v>DESTNAVE JEAN-FRANCOIS</v>
      </c>
      <c r="C5" s="51">
        <f>'M Q'!Q7</f>
        <v>96</v>
      </c>
      <c r="D5" s="51">
        <f>'M Q'!R7</f>
        <v>91</v>
      </c>
      <c r="E5" s="51">
        <f>'M Q'!S7</f>
        <v>93</v>
      </c>
      <c r="F5" s="51">
        <f>'M Q'!T7</f>
        <v>280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.15" customHeight="1">
      <c r="A6" s="54">
        <f>F6+0.0001*G6+0.0000001*E6+0.0000000001*D6</f>
        <v>266.00000900879996</v>
      </c>
      <c r="B6" s="52" t="str">
        <f>'M Q'!V7</f>
        <v>LUX LAURENT</v>
      </c>
      <c r="C6" s="51">
        <f>'M Q'!W7</f>
        <v>88</v>
      </c>
      <c r="D6" s="51">
        <f>'M Q'!X7</f>
        <v>88</v>
      </c>
      <c r="E6" s="51">
        <f>'M Q'!Y7</f>
        <v>90</v>
      </c>
      <c r="F6" s="51">
        <f>'M Q'!Z7</f>
        <v>266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.15" customHeight="1">
      <c r="A7" s="54">
        <f>F7+0.0001*G7+0.0000001*E7+0.0000000001*D7</f>
        <v>270.00000930839997</v>
      </c>
      <c r="B7" s="52" t="str">
        <f>'M Q'!AB7</f>
        <v>BRENN MARJOLAINE</v>
      </c>
      <c r="C7" s="51">
        <f>'M Q'!AC7</f>
        <v>93</v>
      </c>
      <c r="D7" s="51">
        <f>'M Q'!AD7</f>
        <v>84</v>
      </c>
      <c r="E7" s="51">
        <f>'M Q'!AE7</f>
        <v>93</v>
      </c>
      <c r="F7" s="51">
        <f>'M Q'!AF7</f>
        <v>270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.1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15" customHeight="1">
      <c r="A9" s="51"/>
      <c r="B9" s="52" t="s">
        <v>37</v>
      </c>
      <c r="C9" s="52" t="str">
        <f>'M Q'!B8</f>
        <v>PAS DE TIR DU VERT GALANT</v>
      </c>
      <c r="D9" s="52"/>
      <c r="E9" s="52"/>
      <c r="F9" s="51">
        <f>'M Q'!AH8</f>
        <v>1329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2.1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15" customHeight="1">
      <c r="A11" s="54">
        <f>F11+0.0001*G11+0.0000001*E11+0.0000000001*D11</f>
        <v>273.00000930900001</v>
      </c>
      <c r="B11" s="52" t="str">
        <f>'M Q'!D8</f>
        <v>AMATI JEAN PASCAL</v>
      </c>
      <c r="C11" s="51">
        <f>'M Q'!E8</f>
        <v>90</v>
      </c>
      <c r="D11" s="51">
        <f>'M Q'!F8</f>
        <v>90</v>
      </c>
      <c r="E11" s="51">
        <f>'M Q'!G8</f>
        <v>93</v>
      </c>
      <c r="F11" s="51">
        <f>'M Q'!H8</f>
        <v>273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2.15" customHeight="1">
      <c r="A12" s="54">
        <f>F12+0.0001*G12+0.0000001*E12+0.0000000001*D12</f>
        <v>267.00000890900003</v>
      </c>
      <c r="B12" s="52" t="str">
        <f>'M Q'!J8</f>
        <v>BACHACOU ROMAIN</v>
      </c>
      <c r="C12" s="51">
        <f>'M Q'!K8</f>
        <v>88</v>
      </c>
      <c r="D12" s="51">
        <f>'M Q'!L8</f>
        <v>90</v>
      </c>
      <c r="E12" s="51">
        <f>'M Q'!M8</f>
        <v>89</v>
      </c>
      <c r="F12" s="51">
        <f>'M Q'!N8</f>
        <v>267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2.15" customHeight="1">
      <c r="A13" s="54">
        <f>F13+0.0001*G13+0.0000001*E13+0.0000000001*D13</f>
        <v>248.0000084081</v>
      </c>
      <c r="B13" s="52" t="str">
        <f>'M Q'!P8</f>
        <v>BAJU JEAN ROBERT</v>
      </c>
      <c r="C13" s="51">
        <f>'M Q'!Q8</f>
        <v>83</v>
      </c>
      <c r="D13" s="51">
        <f>'M Q'!R8</f>
        <v>81</v>
      </c>
      <c r="E13" s="51">
        <f>'M Q'!S8</f>
        <v>84</v>
      </c>
      <c r="F13" s="51">
        <f>'M Q'!T8</f>
        <v>248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2.15" customHeight="1">
      <c r="A14" s="54">
        <f>F14+0.0001*G14+0.0000001*E14+0.0000000001*D14</f>
        <v>273.00000930909999</v>
      </c>
      <c r="B14" s="52" t="str">
        <f>'M Q'!V8</f>
        <v>SUCERE MARIE</v>
      </c>
      <c r="C14" s="51">
        <f>'M Q'!W8</f>
        <v>89</v>
      </c>
      <c r="D14" s="51">
        <f>'M Q'!X8</f>
        <v>91</v>
      </c>
      <c r="E14" s="51">
        <f>'M Q'!Y8</f>
        <v>93</v>
      </c>
      <c r="F14" s="51">
        <f>'M Q'!Z8</f>
        <v>273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2.15" customHeight="1">
      <c r="A15" s="54">
        <f>F15+0.0001*G15+0.0000001*E15+0.0000000001*D15</f>
        <v>268.00000870870002</v>
      </c>
      <c r="B15" s="52" t="str">
        <f>'M Q'!AB8</f>
        <v>CWERNER BENOIT</v>
      </c>
      <c r="C15" s="51">
        <f>'M Q'!AC8</f>
        <v>94</v>
      </c>
      <c r="D15" s="51">
        <f>'M Q'!AD8</f>
        <v>87</v>
      </c>
      <c r="E15" s="51">
        <f>'M Q'!AE8</f>
        <v>87</v>
      </c>
      <c r="F15" s="51">
        <f>'M Q'!AF8</f>
        <v>268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2.1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15" customHeight="1">
      <c r="A17" s="51"/>
      <c r="B17" s="52" t="str">
        <f>IF(INFO!B8&gt;2,"CLUB N°3","")</f>
        <v>CLUB N°3</v>
      </c>
      <c r="C17" s="52" t="str">
        <f>'M Q'!B9</f>
        <v>FT MONT</v>
      </c>
      <c r="D17" s="52"/>
      <c r="E17" s="52"/>
      <c r="F17" s="51">
        <f>'M Q'!AH9</f>
        <v>1290</v>
      </c>
      <c r="G17" s="51"/>
      <c r="H17" s="12"/>
      <c r="I17" s="51"/>
      <c r="J17" s="52" t="str">
        <f>IF(INFO!B8&gt;5,"CLUB N°6","")</f>
        <v>CLUB N°6</v>
      </c>
      <c r="K17" s="52" t="str">
        <f>'M Q'!B12</f>
        <v>ST CIBOURE 2</v>
      </c>
      <c r="L17" s="52"/>
      <c r="M17" s="52"/>
      <c r="N17" s="51">
        <f>'M Q'!AH12</f>
        <v>1197</v>
      </c>
      <c r="O17" s="52"/>
    </row>
    <row r="18" spans="1:15" ht="22.1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15" customHeight="1">
      <c r="A19" s="55">
        <f>F19+0.0001*G19+0.0000001*E19+0.0000000001*D19</f>
        <v>268.00000920850005</v>
      </c>
      <c r="B19" s="52" t="str">
        <f>'M Q'!D9</f>
        <v>WALKER MELANIE</v>
      </c>
      <c r="C19" s="51">
        <f>'M Q'!E9</f>
        <v>91</v>
      </c>
      <c r="D19" s="51">
        <f>'M Q'!F9</f>
        <v>85</v>
      </c>
      <c r="E19" s="51">
        <f>'M Q'!G9</f>
        <v>92</v>
      </c>
      <c r="F19" s="51">
        <f>'M Q'!H9</f>
        <v>268</v>
      </c>
      <c r="G19" s="51">
        <f>'M Q'!I9</f>
        <v>0</v>
      </c>
      <c r="H19" s="12"/>
      <c r="I19" s="54">
        <f>N19+0.0001*O19+0.0000001*M19+0.0000000001*L19</f>
        <v>255.000007909</v>
      </c>
      <c r="J19" s="52" t="str">
        <f>'M Q'!D12</f>
        <v>PARNAUT MICKAEL</v>
      </c>
      <c r="K19" s="52">
        <f>'M Q'!E12</f>
        <v>86</v>
      </c>
      <c r="L19" s="52">
        <f>'M Q'!F12</f>
        <v>90</v>
      </c>
      <c r="M19" s="52">
        <f>'M Q'!G12</f>
        <v>79</v>
      </c>
      <c r="N19" s="52">
        <f>'M Q'!H12</f>
        <v>255</v>
      </c>
      <c r="O19" s="52">
        <f>'M Q'!I12</f>
        <v>0</v>
      </c>
    </row>
    <row r="20" spans="1:15" ht="22.15" customHeight="1">
      <c r="A20" s="55">
        <f>F20+0.0001*G20+0.0000001*E20+0.0000000001*D20</f>
        <v>250.0000088084</v>
      </c>
      <c r="B20" s="52" t="str">
        <f>'M Q'!J9</f>
        <v>LATOUR LAURENT</v>
      </c>
      <c r="C20" s="51">
        <f>'M Q'!K9</f>
        <v>78</v>
      </c>
      <c r="D20" s="51">
        <f>'M Q'!L9</f>
        <v>84</v>
      </c>
      <c r="E20" s="51">
        <f>'M Q'!M9</f>
        <v>88</v>
      </c>
      <c r="F20" s="51">
        <f>'M Q'!N9</f>
        <v>250</v>
      </c>
      <c r="G20" s="51">
        <f>'M Q'!O9</f>
        <v>0</v>
      </c>
      <c r="H20" s="12"/>
      <c r="I20" s="54">
        <f>N20+0.0001*O20+0.0000001*M20+0.0000000001*L20</f>
        <v>252.00000820899999</v>
      </c>
      <c r="J20" s="52" t="str">
        <f>'M Q'!J12</f>
        <v>DE AIZPURUA CHAON NORA</v>
      </c>
      <c r="K20" s="52">
        <f>'M Q'!K12</f>
        <v>80</v>
      </c>
      <c r="L20" s="52">
        <f>'M Q'!L12</f>
        <v>90</v>
      </c>
      <c r="M20" s="52">
        <f>'M Q'!M12</f>
        <v>82</v>
      </c>
      <c r="N20" s="52">
        <f>'M Q'!N12</f>
        <v>252</v>
      </c>
      <c r="O20" s="52">
        <f>'M Q'!O12</f>
        <v>0</v>
      </c>
    </row>
    <row r="21" spans="1:15" ht="22.15" customHeight="1">
      <c r="A21" s="55">
        <f>F21+0.0001*G21+0.0000001*E21+0.0000000001*D21</f>
        <v>256.00000900859999</v>
      </c>
      <c r="B21" s="52" t="str">
        <f>'M Q'!P9</f>
        <v>LAFARGUE YOANN</v>
      </c>
      <c r="C21" s="51">
        <f>'M Q'!Q9</f>
        <v>80</v>
      </c>
      <c r="D21" s="51">
        <f>'M Q'!R9</f>
        <v>86</v>
      </c>
      <c r="E21" s="51">
        <f>'M Q'!S9</f>
        <v>90</v>
      </c>
      <c r="F21" s="51">
        <f>'M Q'!T9</f>
        <v>256</v>
      </c>
      <c r="G21" s="51">
        <f>'M Q'!U9</f>
        <v>0</v>
      </c>
      <c r="H21" s="12"/>
      <c r="I21" s="54">
        <f>N21+0.0001*O21+0.0000001*M21+0.0000000001*L21</f>
        <v>195.00000600620001</v>
      </c>
      <c r="J21" s="52" t="str">
        <f>'M Q'!P12</f>
        <v>ROCHER MICKAEL</v>
      </c>
      <c r="K21" s="52">
        <f>'M Q'!Q12</f>
        <v>73</v>
      </c>
      <c r="L21" s="52">
        <f>'M Q'!R12</f>
        <v>62</v>
      </c>
      <c r="M21" s="52">
        <f>'M Q'!S12</f>
        <v>60</v>
      </c>
      <c r="N21" s="52">
        <f>'M Q'!T12</f>
        <v>195</v>
      </c>
      <c r="O21" s="52">
        <f>'M Q'!U12</f>
        <v>0</v>
      </c>
    </row>
    <row r="22" spans="1:15" ht="22.15" customHeight="1">
      <c r="A22" s="55">
        <f>F22+0.0001*G22+0.0000001*E22+0.0000000001*D22</f>
        <v>249.0000075083</v>
      </c>
      <c r="B22" s="52" t="str">
        <f>'M Q'!V9</f>
        <v>LASCARAY THIERRY</v>
      </c>
      <c r="C22" s="51">
        <f>'M Q'!W9</f>
        <v>91</v>
      </c>
      <c r="D22" s="51">
        <f>'M Q'!X9</f>
        <v>83</v>
      </c>
      <c r="E22" s="51">
        <f>'M Q'!Y9</f>
        <v>75</v>
      </c>
      <c r="F22" s="51">
        <f>'M Q'!Z9</f>
        <v>249</v>
      </c>
      <c r="G22" s="51">
        <f>'M Q'!AA9</f>
        <v>0</v>
      </c>
      <c r="H22" s="12"/>
      <c r="I22" s="54">
        <f>N22+0.0001*O22+0.0000001*M22+0.0000000001*L22</f>
        <v>238.00000790800001</v>
      </c>
      <c r="J22" s="52" t="str">
        <f>'M Q'!V12</f>
        <v>SIERRA PIERRE</v>
      </c>
      <c r="K22" s="52">
        <f>'M Q'!W12</f>
        <v>79</v>
      </c>
      <c r="L22" s="52">
        <f>'M Q'!X12</f>
        <v>80</v>
      </c>
      <c r="M22" s="52">
        <f>'M Q'!Y12</f>
        <v>79</v>
      </c>
      <c r="N22" s="52">
        <f>'M Q'!Z12</f>
        <v>238</v>
      </c>
      <c r="O22" s="52">
        <f>'M Q'!AA12</f>
        <v>0</v>
      </c>
    </row>
    <row r="23" spans="1:15" ht="22.15" customHeight="1">
      <c r="A23" s="55">
        <f>F23+0.0001*G23+0.0000001*E23+0.0000000001*D23</f>
        <v>267.00000880900001</v>
      </c>
      <c r="B23" s="52" t="str">
        <f>'M Q'!AB9</f>
        <v>PETIT SEBASTIEN</v>
      </c>
      <c r="C23" s="51">
        <f>'M Q'!AC9</f>
        <v>89</v>
      </c>
      <c r="D23" s="51">
        <f>'M Q'!AD9</f>
        <v>90</v>
      </c>
      <c r="E23" s="51">
        <f>'M Q'!AE9</f>
        <v>88</v>
      </c>
      <c r="F23" s="51">
        <f>'M Q'!AF9</f>
        <v>267</v>
      </c>
      <c r="G23" s="51">
        <f>'M Q'!AG9</f>
        <v>0</v>
      </c>
      <c r="H23" s="12"/>
      <c r="I23" s="54">
        <f>N23+0.0001*O23+0.0000001*M23+0.0000000001*L23</f>
        <v>257.00000880829998</v>
      </c>
      <c r="J23" s="52" t="str">
        <f>'M Q'!AB12</f>
        <v>ROSSARD JULIEN</v>
      </c>
      <c r="K23" s="52">
        <f>'M Q'!AC12</f>
        <v>86</v>
      </c>
      <c r="L23" s="52">
        <f>'M Q'!AD12</f>
        <v>83</v>
      </c>
      <c r="M23" s="52">
        <f>'M Q'!AE12</f>
        <v>88</v>
      </c>
      <c r="N23" s="52">
        <f>'M Q'!AF12</f>
        <v>257</v>
      </c>
      <c r="O23" s="52">
        <f>'M Q'!AG12</f>
        <v>0</v>
      </c>
    </row>
    <row r="24" spans="1:15" ht="22.1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15" customHeight="1">
      <c r="A25" s="51"/>
      <c r="B25" s="52" t="str">
        <f>IF(INFO!B8&gt;3,"CLUB N°4","")</f>
        <v>CLUB N°4</v>
      </c>
      <c r="C25" s="52" t="str">
        <f>'M Q'!B10</f>
        <v>ST CIBOURE 1</v>
      </c>
      <c r="D25" s="52"/>
      <c r="E25" s="52"/>
      <c r="F25" s="51">
        <f>'M Q'!AH10</f>
        <v>1285</v>
      </c>
      <c r="G25" s="51"/>
      <c r="H25" s="12"/>
      <c r="I25" s="51"/>
      <c r="J25" s="52" t="str">
        <f>IF(INFO!B8&gt;4,"CLUB N°5","")</f>
        <v>CLUB N°5</v>
      </c>
      <c r="K25" s="52" t="str">
        <f>'M Q'!B11</f>
        <v>ST CIBOURE 3</v>
      </c>
      <c r="L25" s="52"/>
      <c r="M25" s="52"/>
      <c r="N25" s="51">
        <f>'M Q'!AH11</f>
        <v>1217</v>
      </c>
      <c r="O25" s="52"/>
    </row>
    <row r="26" spans="1:15" ht="22.1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15" customHeight="1">
      <c r="A27" s="54">
        <f>F27+0.0001*G27+0.0000001*E27+0.0000000001*D27</f>
        <v>259.00000850879997</v>
      </c>
      <c r="B27" s="52" t="str">
        <f>'M Q'!D10</f>
        <v>ACHOTEGUI RICHARD</v>
      </c>
      <c r="C27" s="51">
        <f>'M Q'!E10</f>
        <v>86</v>
      </c>
      <c r="D27" s="51">
        <f>'M Q'!F10</f>
        <v>88</v>
      </c>
      <c r="E27" s="51">
        <f>'M Q'!G10</f>
        <v>85</v>
      </c>
      <c r="F27" s="51">
        <f>'M Q'!H10</f>
        <v>259</v>
      </c>
      <c r="G27" s="51">
        <f>'M Q'!I10</f>
        <v>0</v>
      </c>
      <c r="H27" s="12"/>
      <c r="I27" s="54">
        <f>N27+0.0001*O27+0.0000001*M27+0.0000000001*L27</f>
        <v>233.00000740849998</v>
      </c>
      <c r="J27" s="52" t="str">
        <f>'M Q'!D11</f>
        <v>HIGOA BOURDILLAT MAEL</v>
      </c>
      <c r="K27" s="52">
        <f>'M Q'!E11</f>
        <v>74</v>
      </c>
      <c r="L27" s="52">
        <f>'M Q'!F11</f>
        <v>85</v>
      </c>
      <c r="M27" s="52">
        <f>'M Q'!G11</f>
        <v>74</v>
      </c>
      <c r="N27" s="52">
        <f>'M Q'!H11</f>
        <v>233</v>
      </c>
      <c r="O27" s="52">
        <f>'M Q'!I11</f>
        <v>0</v>
      </c>
    </row>
    <row r="28" spans="1:15" ht="22.15" customHeight="1">
      <c r="A28" s="54">
        <f>F28+0.0001*G28+0.0000001*E28+0.0000000001*D28</f>
        <v>258.00000870860003</v>
      </c>
      <c r="B28" s="52" t="str">
        <f>'M Q'!J10</f>
        <v>KEOKINNALY HANSAY</v>
      </c>
      <c r="C28" s="51">
        <f>'M Q'!K10</f>
        <v>85</v>
      </c>
      <c r="D28" s="51">
        <f>'M Q'!L10</f>
        <v>86</v>
      </c>
      <c r="E28" s="51">
        <f>'M Q'!M10</f>
        <v>87</v>
      </c>
      <c r="F28" s="51">
        <f>'M Q'!N10</f>
        <v>258</v>
      </c>
      <c r="G28" s="51">
        <f>'M Q'!O10</f>
        <v>0</v>
      </c>
      <c r="H28" s="12"/>
      <c r="I28" s="54">
        <f>N28+0.0001*O28+0.0000001*M28+0.0000000001*L28</f>
        <v>239.00000790840002</v>
      </c>
      <c r="J28" s="52" t="str">
        <f>'M Q'!J11</f>
        <v>HIGOA BOURDILLAT LILOU</v>
      </c>
      <c r="K28" s="52">
        <f>'M Q'!K11</f>
        <v>76</v>
      </c>
      <c r="L28" s="52">
        <f>'M Q'!L11</f>
        <v>84</v>
      </c>
      <c r="M28" s="52">
        <f>'M Q'!M11</f>
        <v>79</v>
      </c>
      <c r="N28" s="52">
        <f>'M Q'!N11</f>
        <v>239</v>
      </c>
      <c r="O28" s="52">
        <f>'M Q'!O11</f>
        <v>0</v>
      </c>
    </row>
    <row r="29" spans="1:15" ht="22.15" customHeight="1">
      <c r="A29" s="54">
        <f>F29+0.0001*G29+0.0000001*E29+0.0000000001*D29</f>
        <v>266.00000840889999</v>
      </c>
      <c r="B29" s="52" t="str">
        <f>'M Q'!P10</f>
        <v>ROUQUETTE JEAN-LOUIS</v>
      </c>
      <c r="C29" s="51">
        <f>'M Q'!Q10</f>
        <v>93</v>
      </c>
      <c r="D29" s="51">
        <f>'M Q'!R10</f>
        <v>89</v>
      </c>
      <c r="E29" s="51">
        <f>'M Q'!S10</f>
        <v>84</v>
      </c>
      <c r="F29" s="51">
        <f>'M Q'!T10</f>
        <v>266</v>
      </c>
      <c r="G29" s="51">
        <f>'M Q'!U10</f>
        <v>0</v>
      </c>
      <c r="H29" s="12"/>
      <c r="I29" s="54">
        <f>N29+0.0001*O29+0.0000001*M29+0.0000000001*L29</f>
        <v>271.00000890910002</v>
      </c>
      <c r="J29" s="52" t="str">
        <f>'M Q'!P11</f>
        <v>CRESPO AGUIRRE ROGER</v>
      </c>
      <c r="K29" s="52">
        <f>'M Q'!Q11</f>
        <v>91</v>
      </c>
      <c r="L29" s="52">
        <f>'M Q'!R11</f>
        <v>91</v>
      </c>
      <c r="M29" s="52">
        <f>'M Q'!S11</f>
        <v>89</v>
      </c>
      <c r="N29" s="52">
        <f>'M Q'!T11</f>
        <v>271</v>
      </c>
      <c r="O29" s="52">
        <f>'M Q'!U11</f>
        <v>0</v>
      </c>
    </row>
    <row r="30" spans="1:15" ht="22.15" customHeight="1">
      <c r="A30" s="54">
        <f>F30+0.0001*G30+0.0000001*E30+0.0000000001*D30</f>
        <v>251.00000890840002</v>
      </c>
      <c r="B30" s="52" t="str">
        <f>'M Q'!V10</f>
        <v>BOULENGUIEZ JULIEN</v>
      </c>
      <c r="C30" s="51">
        <f>'M Q'!W10</f>
        <v>78</v>
      </c>
      <c r="D30" s="51">
        <f>'M Q'!X10</f>
        <v>84</v>
      </c>
      <c r="E30" s="51">
        <f>'M Q'!Y10</f>
        <v>89</v>
      </c>
      <c r="F30" s="51">
        <f>'M Q'!Z10</f>
        <v>251</v>
      </c>
      <c r="G30" s="51">
        <f>'M Q'!AA10</f>
        <v>0</v>
      </c>
      <c r="H30" s="12"/>
      <c r="I30" s="54">
        <f>N30+0.0001*O30+0.0000001*M30+0.0000000001*L30</f>
        <v>261.00000830900001</v>
      </c>
      <c r="J30" s="52" t="str">
        <f>'M Q'!V11</f>
        <v>MEURTIN VINCENT</v>
      </c>
      <c r="K30" s="52">
        <f>'M Q'!W11</f>
        <v>88</v>
      </c>
      <c r="L30" s="52">
        <f>'M Q'!X11</f>
        <v>90</v>
      </c>
      <c r="M30" s="52">
        <f>'M Q'!Y11</f>
        <v>83</v>
      </c>
      <c r="N30" s="52">
        <f>'M Q'!Z11</f>
        <v>261</v>
      </c>
      <c r="O30" s="52">
        <f>'M Q'!AA11</f>
        <v>0</v>
      </c>
    </row>
    <row r="31" spans="1:15" ht="22.15" customHeight="1">
      <c r="A31" s="54">
        <f>F31+0.0001*G31+0.0000001*E31+0.0000000001*D31</f>
        <v>251.00000840870001</v>
      </c>
      <c r="B31" s="52" t="str">
        <f>'M Q'!AB10</f>
        <v>TAILLEUR DAMIEN</v>
      </c>
      <c r="C31" s="51">
        <f>'M Q'!AC10</f>
        <v>80</v>
      </c>
      <c r="D31" s="51">
        <f>'M Q'!AD10</f>
        <v>87</v>
      </c>
      <c r="E31" s="51">
        <f>'M Q'!AE10</f>
        <v>84</v>
      </c>
      <c r="F31" s="51">
        <f>'M Q'!AF10</f>
        <v>251</v>
      </c>
      <c r="G31" s="51">
        <f>'M Q'!AG10</f>
        <v>0</v>
      </c>
      <c r="H31" s="12"/>
      <c r="I31" s="54">
        <f>N31+0.0001*O31+0.0000001*M31+0.0000000001*L31</f>
        <v>213.00000690749999</v>
      </c>
      <c r="J31" s="52" t="str">
        <f>'M Q'!AB11</f>
        <v>GARIVET PATRICK</v>
      </c>
      <c r="K31" s="52">
        <f>'M Q'!AC11</f>
        <v>69</v>
      </c>
      <c r="L31" s="52">
        <f>'M Q'!AD11</f>
        <v>75</v>
      </c>
      <c r="M31" s="52">
        <f>'M Q'!AE11</f>
        <v>69</v>
      </c>
      <c r="N31" s="52">
        <f>'M Q'!AF11</f>
        <v>213</v>
      </c>
      <c r="O31" s="52">
        <f>'M Q'!AG11</f>
        <v>0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topLeftCell="A2" zoomScale="80" zoomScaleNormal="80" zoomScaleSheetLayoutView="100" zoomScalePageLayoutView="80" workbookViewId="0">
      <selection activeCell="P24" sqref="P24"/>
    </sheetView>
  </sheetViews>
  <sheetFormatPr baseColWidth="10" defaultColWidth="6.875" defaultRowHeight="15"/>
  <cols>
    <col min="1" max="1" width="15.375" style="1" customWidth="1"/>
    <col min="2" max="2" width="31.875" style="1" customWidth="1"/>
    <col min="3" max="5" width="10.875" style="1" customWidth="1"/>
    <col min="6" max="6" width="8.5" style="1" customWidth="1"/>
    <col min="7" max="7" width="3.625" style="1" customWidth="1"/>
    <col min="8" max="8" width="34.25" style="1" customWidth="1"/>
    <col min="9" max="11" width="10.625" style="1" customWidth="1"/>
    <col min="12" max="12" width="8.5" style="1" customWidth="1"/>
    <col min="13" max="13" width="5.625" style="1" customWidth="1"/>
    <col min="14" max="16384" width="6.875" style="1"/>
  </cols>
  <sheetData>
    <row r="1" spans="1:14" ht="49.9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.15" customHeight="1" thickBot="1">
      <c r="A2" s="12"/>
      <c r="B2" s="173" t="s">
        <v>14</v>
      </c>
      <c r="C2" s="253" t="str">
        <f>'Clb Q (2)'!C1</f>
        <v>ST LONS</v>
      </c>
      <c r="D2" s="254"/>
      <c r="E2" s="254"/>
      <c r="F2" s="174">
        <f>'Clb Q (2)'!F1</f>
        <v>1359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.1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2.15" customHeight="1">
      <c r="A4" s="176"/>
      <c r="B4" s="180" t="str">
        <f>VLOOKUP(F4,'Clb Q (2)'!A$3:G$7,2,0)</f>
        <v>PANTELEYEV KONSTANTIN</v>
      </c>
      <c r="C4" s="181">
        <f>VLOOKUP(F4,'Clb Q (2)'!A$3:G$7,3,0)</f>
        <v>93</v>
      </c>
      <c r="D4" s="182">
        <f>VLOOKUP(F4,'Clb Q (2)'!A$3:G$7,4,0)</f>
        <v>95</v>
      </c>
      <c r="E4" s="183">
        <f>VLOOKUP(F4,'Clb Q (2)'!A$3:G$7,5,0)</f>
        <v>94</v>
      </c>
      <c r="F4" s="180">
        <f>LARGE('Clb Q (2)'!A$3:A$7,1)</f>
        <v>282.00000940950002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.15" customHeight="1">
      <c r="A5" s="176"/>
      <c r="B5" s="180" t="str">
        <f>VLOOKUP(F5,'Clb Q (2)'!A$3:G$7,2,0)</f>
        <v>DESTNAVE JEAN-FRANCOIS</v>
      </c>
      <c r="C5" s="181">
        <f>VLOOKUP(F5,'Clb Q (2)'!A$3:G$7,3,0)</f>
        <v>96</v>
      </c>
      <c r="D5" s="182">
        <f>VLOOKUP(F5,'Clb Q (2)'!A$3:G$7,4,0)</f>
        <v>91</v>
      </c>
      <c r="E5" s="183">
        <f>VLOOKUP(F5,'Clb Q (2)'!A$3:G$7,5,0)</f>
        <v>93</v>
      </c>
      <c r="F5" s="180">
        <f>LARGE('Clb Q (2)'!A$3:A$7,2)</f>
        <v>280.00000930909999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.15" customHeight="1">
      <c r="A6" s="176"/>
      <c r="B6" s="180" t="str">
        <f>VLOOKUP(F6,'Clb Q (2)'!A$3:G$7,2,0)</f>
        <v>BRENN MARJOLAINE</v>
      </c>
      <c r="C6" s="181">
        <f>VLOOKUP(F6,'Clb Q (2)'!A$3:G$7,3,0)</f>
        <v>93</v>
      </c>
      <c r="D6" s="182">
        <f>VLOOKUP(F6,'Clb Q (2)'!A$3:G$7,4,0)</f>
        <v>84</v>
      </c>
      <c r="E6" s="183">
        <f>VLOOKUP(F6,'Clb Q (2)'!A$3:G$7,5,0)</f>
        <v>93</v>
      </c>
      <c r="F6" s="180">
        <f>LARGE('Clb Q (2)'!A$3:A$7,3)</f>
        <v>270.00000930839997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.15" customHeight="1">
      <c r="A7" s="176"/>
      <c r="B7" s="180" t="str">
        <f>VLOOKUP(F7,'Clb Q (2)'!A$3:G$7,2,0)</f>
        <v>LUX LAURENT</v>
      </c>
      <c r="C7" s="181">
        <f>VLOOKUP(F7,'Clb Q (2)'!A$3:G$7,3,0)</f>
        <v>88</v>
      </c>
      <c r="D7" s="182">
        <f>VLOOKUP(F7,'Clb Q (2)'!A$3:G$7,4,0)</f>
        <v>88</v>
      </c>
      <c r="E7" s="183">
        <f>VLOOKUP(F7,'Clb Q (2)'!A$3:G$7,5,0)</f>
        <v>90</v>
      </c>
      <c r="F7" s="180">
        <f>LARGE('Clb Q (2)'!A$3:A$7,4)</f>
        <v>266.00000900879996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.15" customHeight="1" thickBot="1">
      <c r="A8" s="176"/>
      <c r="B8" s="184" t="str">
        <f>VLOOKUP(F8,'Clb Q (2)'!A$3:G$7,2,0)</f>
        <v>DUHAMELLE DENIS</v>
      </c>
      <c r="C8" s="185">
        <f>VLOOKUP(F8,'Clb Q (2)'!A$3:G$7,3,0)</f>
        <v>86</v>
      </c>
      <c r="D8" s="186">
        <f>VLOOKUP(F8,'Clb Q (2)'!A$3:G$7,4,0)</f>
        <v>85</v>
      </c>
      <c r="E8" s="187">
        <f>VLOOKUP(F8,'Clb Q (2)'!A$3:G$7,5,0)</f>
        <v>90</v>
      </c>
      <c r="F8" s="184">
        <f>LARGE('Clb Q (2)'!A$3:A$7,5)</f>
        <v>261.0000090085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.1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.15" customHeight="1" thickBot="1">
      <c r="A10" s="12"/>
      <c r="B10" s="175" t="s">
        <v>37</v>
      </c>
      <c r="C10" s="253" t="str">
        <f>'Clb Q (2)'!C9</f>
        <v>PAS DE TIR DU VERT GALANT</v>
      </c>
      <c r="D10" s="254"/>
      <c r="E10" s="254"/>
      <c r="F10" s="174">
        <f>'Clb Q (2)'!F9</f>
        <v>1329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2.1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2.15" customHeight="1">
      <c r="A12" s="176"/>
      <c r="B12" s="189" t="str">
        <f>VLOOKUP(F12,'Clb Q (2)'!A$11:G$15,2,0)</f>
        <v>SUCERE MARIE</v>
      </c>
      <c r="C12" s="181">
        <f>VLOOKUP(F12,'Clb Q (2)'!A$11:G$15,3,0)</f>
        <v>89</v>
      </c>
      <c r="D12" s="182">
        <f>VLOOKUP(F12,'Clb Q (2)'!A$11:G$15,4,0)</f>
        <v>91</v>
      </c>
      <c r="E12" s="183">
        <f>VLOOKUP(F12,'Clb Q (2)'!A$11:G$15,5,0)</f>
        <v>93</v>
      </c>
      <c r="F12" s="180">
        <f>LARGE('Clb Q (2)'!A$11:A$15,1)</f>
        <v>273.00000930909999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2.15" customHeight="1">
      <c r="A13" s="176"/>
      <c r="B13" s="180" t="str">
        <f>VLOOKUP(F13,'Clb Q (2)'!A$11:G$15,2,0)</f>
        <v>AMATI JEAN PASCAL</v>
      </c>
      <c r="C13" s="181">
        <f>VLOOKUP(F13,'Clb Q (2)'!A$11:G$15,3,0)</f>
        <v>90</v>
      </c>
      <c r="D13" s="182">
        <f>VLOOKUP(F13,'Clb Q (2)'!A$11:G$15,4,0)</f>
        <v>90</v>
      </c>
      <c r="E13" s="183">
        <f>VLOOKUP(F13,'Clb Q (2)'!A$11:G$15,5,0)</f>
        <v>93</v>
      </c>
      <c r="F13" s="180">
        <f>LARGE('Clb Q (2)'!A$11:A$15,2)</f>
        <v>273.00000930900001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2.15" customHeight="1">
      <c r="A14" s="176"/>
      <c r="B14" s="180" t="str">
        <f>VLOOKUP(F14,'Clb Q (2)'!A$11:G$15,2,0)</f>
        <v>CWERNER BENOIT</v>
      </c>
      <c r="C14" s="181">
        <f>VLOOKUP(F14,'Clb Q (2)'!A$11:G$15,3,0)</f>
        <v>94</v>
      </c>
      <c r="D14" s="182">
        <f>VLOOKUP(F14,'Clb Q (2)'!A$11:G$15,4,0)</f>
        <v>87</v>
      </c>
      <c r="E14" s="183">
        <f>VLOOKUP(F14,'Clb Q (2)'!A$11:G$15,5,0)</f>
        <v>87</v>
      </c>
      <c r="F14" s="180">
        <f>LARGE('Clb Q (2)'!A$11:A$15,3)</f>
        <v>268.00000870870002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2.15" customHeight="1">
      <c r="A15" s="176"/>
      <c r="B15" s="180" t="str">
        <f>VLOOKUP(F15,'Clb Q (2)'!A$11:G$15,2,0)</f>
        <v>BACHACOU ROMAIN</v>
      </c>
      <c r="C15" s="181">
        <f>VLOOKUP(F15,'Clb Q (2)'!A$11:G$15,3,0)</f>
        <v>88</v>
      </c>
      <c r="D15" s="182">
        <f>VLOOKUP(F15,'Clb Q (2)'!A$11:G$15,4,0)</f>
        <v>90</v>
      </c>
      <c r="E15" s="183">
        <f>VLOOKUP(F15,'Clb Q (2)'!A$11:G$15,5,0)</f>
        <v>89</v>
      </c>
      <c r="F15" s="180">
        <f>LARGE('Clb Q (2)'!A$11:A$15,4)</f>
        <v>267.00000890900003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2.15" customHeight="1" thickBot="1">
      <c r="A16" s="176"/>
      <c r="B16" s="184" t="str">
        <f>VLOOKUP(F16,'Clb Q (2)'!A$11:G$15,2,0)</f>
        <v>BAJU JEAN ROBERT</v>
      </c>
      <c r="C16" s="185">
        <f>VLOOKUP(F16,'Clb Q (2)'!A$11:G$15,3,0)</f>
        <v>83</v>
      </c>
      <c r="D16" s="186">
        <f>VLOOKUP(F16,'Clb Q (2)'!A$11:G$15,4,0)</f>
        <v>81</v>
      </c>
      <c r="E16" s="187">
        <f>VLOOKUP(F16,'Clb Q (2)'!A$11:G$15,5,0)</f>
        <v>84</v>
      </c>
      <c r="F16" s="184">
        <f>LARGE('Clb Q (2)'!A$11:A$15,5)</f>
        <v>248.0000084081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2.1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.15" customHeight="1" thickBot="1">
      <c r="A18" s="12"/>
      <c r="B18" s="175" t="str">
        <f>IF(INFO!B8&gt;2,"CLUB N°3","")</f>
        <v>CLUB N°3</v>
      </c>
      <c r="C18" s="253" t="str">
        <f>IF(INFO!B8&gt;2,'Clb Q (2)'!C17,"")</f>
        <v>FT MONT</v>
      </c>
      <c r="D18" s="254"/>
      <c r="E18" s="254"/>
      <c r="F18" s="174">
        <f>IF(INFO!B8&gt;2,'Clb Q (2)'!F17,"")</f>
        <v>1290</v>
      </c>
      <c r="G18" s="12"/>
      <c r="H18" s="175" t="str">
        <f>IF(INFO!B8&gt;5,"CLUB N°6","")</f>
        <v>CLUB N°6</v>
      </c>
      <c r="I18" s="253" t="str">
        <f>IF(INFO!B8&gt;5,'Clb Q (2)'!K17,"")</f>
        <v>ST CIBOURE 2</v>
      </c>
      <c r="J18" s="254"/>
      <c r="K18" s="254"/>
      <c r="L18" s="174">
        <f>IF(INFO!B8&gt;5,'Clb Q (2)'!N17,"")</f>
        <v>1197</v>
      </c>
      <c r="M18" s="12"/>
    </row>
    <row r="19" spans="1:13" ht="22.1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2.15" customHeight="1">
      <c r="A20" s="176"/>
      <c r="B20" s="180" t="str">
        <f>IF(INFO!B$8&gt;2,VLOOKUP(F20,'Clb Q (2)'!A$19:G$23,2,0),"")</f>
        <v>WALKER MELANIE</v>
      </c>
      <c r="C20" s="181">
        <f>IF(INFO!B$8&gt;2,VLOOKUP(F20,'Clb Q (2)'!A$19:G$23,3,0),"")</f>
        <v>91</v>
      </c>
      <c r="D20" s="182">
        <f>IF(INFO!B$8&gt;2,VLOOKUP(F20,'Clb Q (2)'!A$19:G$23,4,0),"")</f>
        <v>85</v>
      </c>
      <c r="E20" s="183">
        <f>IF(INFO!B$8&gt;2,VLOOKUP(F20,'Clb Q (2)'!A$19:G$23,5,0),"")</f>
        <v>92</v>
      </c>
      <c r="F20" s="180">
        <f>IF(INFO!B$8&gt;2,LARGE('Clb Q (2)'!A$19:A$23,1),"")</f>
        <v>268.00000920850005</v>
      </c>
      <c r="G20" s="12"/>
      <c r="H20" s="180" t="str">
        <f>IF(INFO!B$8&gt;5,VLOOKUP(L20,'Clb Q (2)'!I$19:O$23,2,0),"")</f>
        <v>ROSSARD JULIEN</v>
      </c>
      <c r="I20" s="181">
        <f>IF(INFO!B$8&gt;5,VLOOKUP(L20,'Clb Q (2)'!I$19:O$23,3,0),"")</f>
        <v>86</v>
      </c>
      <c r="J20" s="182">
        <f>IF(INFO!B$8&gt;5,VLOOKUP(L20,'Clb Q (2)'!I$19:O$23,4,0),"")</f>
        <v>83</v>
      </c>
      <c r="K20" s="183">
        <f>IF(INFO!B$8&gt;5,VLOOKUP(L20,'Clb Q (2)'!I$19:O$23,5,0),"")</f>
        <v>88</v>
      </c>
      <c r="L20" s="180">
        <f>IF(INFO!B$8&gt;5,LARGE('Clb Q (2)'!I$19:I$23,1),"")</f>
        <v>257.00000880829998</v>
      </c>
      <c r="M20" s="12"/>
    </row>
    <row r="21" spans="1:13" ht="22.15" customHeight="1">
      <c r="A21" s="176"/>
      <c r="B21" s="180" t="str">
        <f>IF(INFO!B$8&gt;2,VLOOKUP(F21,'Clb Q (2)'!A$19:G$23,2,0),"")</f>
        <v>PETIT SEBASTIEN</v>
      </c>
      <c r="C21" s="181">
        <f>IF(INFO!B$8&gt;2,VLOOKUP(F21,'Clb Q (2)'!A$19:G$23,3,0),"")</f>
        <v>89</v>
      </c>
      <c r="D21" s="182">
        <f>IF(INFO!B$8&gt;2,VLOOKUP(F21,'Clb Q (2)'!A$19:G$23,4,0),"")</f>
        <v>90</v>
      </c>
      <c r="E21" s="183">
        <f>IF(INFO!B$8&gt;2,VLOOKUP(F21,'Clb Q (2)'!A$19:G$23,5,0),"")</f>
        <v>88</v>
      </c>
      <c r="F21" s="180">
        <f>IF(INFO!B$8&gt;2,LARGE('Clb Q (2)'!A$19:A$23,2),"")</f>
        <v>267.00000880900001</v>
      </c>
      <c r="G21" s="12"/>
      <c r="H21" s="180" t="str">
        <f>IF(INFO!B$8&gt;5,VLOOKUP(L21,'Clb Q (2)'!I$19:O$23,2,0),"")</f>
        <v>PARNAUT MICKAEL</v>
      </c>
      <c r="I21" s="181">
        <f>IF(INFO!B$8&gt;5,VLOOKUP(L21,'Clb Q (2)'!I$19:O$23,3,0),"")</f>
        <v>86</v>
      </c>
      <c r="J21" s="182">
        <f>IF(INFO!B$8&gt;5,VLOOKUP(L21,'Clb Q (2)'!I$19:O$23,4,0),"")</f>
        <v>90</v>
      </c>
      <c r="K21" s="183">
        <f>IF(INFO!B$8&gt;5,VLOOKUP(L21,'Clb Q (2)'!I$19:O$23,5,0),"")</f>
        <v>79</v>
      </c>
      <c r="L21" s="180">
        <f>IF(INFO!B$8&gt;5,LARGE('Clb Q (2)'!I$19:I$23,2),"")</f>
        <v>255.000007909</v>
      </c>
      <c r="M21" s="12"/>
    </row>
    <row r="22" spans="1:13" ht="22.15" customHeight="1">
      <c r="A22" s="176"/>
      <c r="B22" s="180" t="str">
        <f>IF(INFO!B$8&gt;2,VLOOKUP(F22,'Clb Q (2)'!A$19:G$23,2,0),"")</f>
        <v>LAFARGUE YOANN</v>
      </c>
      <c r="C22" s="181">
        <f>IF(INFO!B$8&gt;2,VLOOKUP(F22,'Clb Q (2)'!A$19:G$23,3,0),"")</f>
        <v>80</v>
      </c>
      <c r="D22" s="182">
        <f>IF(INFO!B$8&gt;2,VLOOKUP(F22,'Clb Q (2)'!A$19:G$23,4,0),"")</f>
        <v>86</v>
      </c>
      <c r="E22" s="183">
        <f>IF(INFO!B$8&gt;2,VLOOKUP(F22,'Clb Q (2)'!A$19:G$23,5,0),"")</f>
        <v>90</v>
      </c>
      <c r="F22" s="180">
        <f>IF(INFO!B$8&gt;2,LARGE('Clb Q (2)'!A$19:A$23,3),"")</f>
        <v>256.00000900859999</v>
      </c>
      <c r="G22" s="12"/>
      <c r="H22" s="180" t="str">
        <f>IF(INFO!B$8&gt;5,VLOOKUP(L22,'Clb Q (2)'!I$19:O$23,2,0),"")</f>
        <v>DE AIZPURUA CHAON NORA</v>
      </c>
      <c r="I22" s="181">
        <f>IF(INFO!B$8&gt;5,VLOOKUP(L22,'Clb Q (2)'!I$19:O$23,3,0),"")</f>
        <v>80</v>
      </c>
      <c r="J22" s="182">
        <f>IF(INFO!B$8&gt;5,VLOOKUP(L22,'Clb Q (2)'!I$19:O$23,4,0),"")</f>
        <v>90</v>
      </c>
      <c r="K22" s="183">
        <f>IF(INFO!B$8&gt;5,VLOOKUP(L22,'Clb Q (2)'!I$19:O$23,5,0),"")</f>
        <v>82</v>
      </c>
      <c r="L22" s="180">
        <f>IF(INFO!B$8&gt;5,LARGE('Clb Q (2)'!I$19:I$23,3),"")</f>
        <v>252.00000820899999</v>
      </c>
      <c r="M22" s="12"/>
    </row>
    <row r="23" spans="1:13" ht="22.15" customHeight="1">
      <c r="A23" s="176"/>
      <c r="B23" s="180" t="str">
        <f>IF(INFO!B$8&gt;2,VLOOKUP(F23,'Clb Q (2)'!A$19:G$23,2,0),"")</f>
        <v>LATOUR LAURENT</v>
      </c>
      <c r="C23" s="181">
        <f>IF(INFO!B$8&gt;2,VLOOKUP(F23,'Clb Q (2)'!A$19:G$23,3,0),"")</f>
        <v>78</v>
      </c>
      <c r="D23" s="182">
        <f>IF(INFO!B$8&gt;2,VLOOKUP(F23,'Clb Q (2)'!A$19:G$23,4,0),"")</f>
        <v>84</v>
      </c>
      <c r="E23" s="183">
        <f>IF(INFO!B$8&gt;2,VLOOKUP(F23,'Clb Q (2)'!A$19:G$23,5,0),"")</f>
        <v>88</v>
      </c>
      <c r="F23" s="180">
        <f>IF(INFO!B$8&gt;2,LARGE('Clb Q (2)'!A$19:A$23,4),"")</f>
        <v>250.0000088084</v>
      </c>
      <c r="G23" s="12"/>
      <c r="H23" s="180" t="str">
        <f>IF(INFO!B$8&gt;5,VLOOKUP(L23,'Clb Q (2)'!I$19:O$23,2,0),"")</f>
        <v>SIERRA PIERRE</v>
      </c>
      <c r="I23" s="181">
        <f>IF(INFO!B$8&gt;5,VLOOKUP(L23,'Clb Q (2)'!I$19:O$23,3,0),"")</f>
        <v>79</v>
      </c>
      <c r="J23" s="182">
        <f>IF(INFO!B$8&gt;5,VLOOKUP(L23,'Clb Q (2)'!I$19:O$23,4,0),"")</f>
        <v>80</v>
      </c>
      <c r="K23" s="183">
        <f>IF(INFO!B$8&gt;5,VLOOKUP(L23,'Clb Q (2)'!I$19:O$23,5,0),"")</f>
        <v>79</v>
      </c>
      <c r="L23" s="180">
        <f>IF(INFO!B$8&gt;5,LARGE('Clb Q (2)'!I$19:I$23,4),"")</f>
        <v>238.00000790800001</v>
      </c>
      <c r="M23" s="12"/>
    </row>
    <row r="24" spans="1:13" ht="22.15" customHeight="1" thickBot="1">
      <c r="A24" s="176"/>
      <c r="B24" s="184" t="str">
        <f>IF(INFO!B$8&gt;2,VLOOKUP(F24,'Clb Q (2)'!A$19:G$23,2,0),"")</f>
        <v>LASCARAY THIERRY</v>
      </c>
      <c r="C24" s="185">
        <f>IF(INFO!B$8&gt;2,VLOOKUP(F24,'Clb Q (2)'!A$19:G$23,3,0),"")</f>
        <v>91</v>
      </c>
      <c r="D24" s="186">
        <f>IF(INFO!B$8&gt;2,VLOOKUP(F24,'Clb Q (2)'!A$19:G$23,4,0),"")</f>
        <v>83</v>
      </c>
      <c r="E24" s="187">
        <f>IF(INFO!B$8&gt;2,VLOOKUP(F24,'Clb Q (2)'!A$19:G$23,5,0),"")</f>
        <v>75</v>
      </c>
      <c r="F24" s="184">
        <f>IF(INFO!B$8&gt;2,LARGE('Clb Q (2)'!A$19:A$23,5),"")</f>
        <v>249.0000075083</v>
      </c>
      <c r="G24" s="12"/>
      <c r="H24" s="184" t="str">
        <f>IF(INFO!B$8&gt;5,VLOOKUP(L24,'Clb Q (2)'!I$19:O$23,2,0),"")</f>
        <v>ROCHER MICKAEL</v>
      </c>
      <c r="I24" s="185">
        <f>IF(INFO!B$8&gt;5,VLOOKUP(L24,'Clb Q (2)'!I$19:O$23,3,0),"")</f>
        <v>73</v>
      </c>
      <c r="J24" s="186">
        <f>IF(INFO!B$8&gt;5,VLOOKUP(L24,'Clb Q (2)'!I$19:O$23,4,0),"")</f>
        <v>62</v>
      </c>
      <c r="K24" s="187">
        <f>IF(INFO!B$8&gt;5,VLOOKUP(L24,'Clb Q (2)'!I$19:O$23,5,0),"")</f>
        <v>60</v>
      </c>
      <c r="L24" s="184">
        <f>IF(INFO!B$8&gt;5,LARGE('Clb Q (2)'!I$19:I$23,5),"")</f>
        <v>195.00000600620001</v>
      </c>
      <c r="M24" s="12"/>
    </row>
    <row r="25" spans="1:13" ht="22.1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.15" customHeight="1" thickBot="1">
      <c r="A26" s="12"/>
      <c r="B26" s="175" t="str">
        <f>IF(INFO!B8&gt;3,"CLUB N°4","")</f>
        <v>CLUB N°4</v>
      </c>
      <c r="C26" s="253" t="str">
        <f>IF(INFO!B8&gt;3,'Clb Q (2)'!C25,"")</f>
        <v>ST CIBOURE 1</v>
      </c>
      <c r="D26" s="254"/>
      <c r="E26" s="254"/>
      <c r="F26" s="174">
        <f>IF(INFO!B8&gt;3,'Clb Q (2)'!F25,"")</f>
        <v>1285</v>
      </c>
      <c r="G26" s="12"/>
      <c r="H26" s="175" t="str">
        <f>IF(INFO!B8&gt;4,"CLUB N°5","")</f>
        <v>CLUB N°5</v>
      </c>
      <c r="I26" s="253" t="str">
        <f>IF(INFO!B8&gt;4,'Clb Q (2)'!K25,"")</f>
        <v>ST CIBOURE 3</v>
      </c>
      <c r="J26" s="254"/>
      <c r="K26" s="254"/>
      <c r="L26" s="174">
        <f>IF(INFO!B8&gt;4,'Clb Q (2)'!N25,"")</f>
        <v>1217</v>
      </c>
      <c r="M26" s="12"/>
    </row>
    <row r="27" spans="1:13" ht="22.1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2.15" customHeight="1">
      <c r="A28" s="176"/>
      <c r="B28" s="180" t="str">
        <f>IF(INFO!B$8&gt;3,VLOOKUP(F28,'Clb Q (2)'!A$27:G$31,2,0),"")</f>
        <v>ROUQUETTE JEAN-LOUIS</v>
      </c>
      <c r="C28" s="181">
        <f>IF(INFO!B$8&gt;3,VLOOKUP(F28,'Clb Q (2)'!A$27:G$31,3,0),"")</f>
        <v>93</v>
      </c>
      <c r="D28" s="182">
        <f>IF(INFO!B$8&gt;3,VLOOKUP(F28,'Clb Q (2)'!A$27:G$31,4,0),"")</f>
        <v>89</v>
      </c>
      <c r="E28" s="183">
        <f>IF(INFO!B$8&gt;3,VLOOKUP(F28,'Clb Q (2)'!A$27:G$31,5,0),"")</f>
        <v>84</v>
      </c>
      <c r="F28" s="180">
        <f>IF(INFO!B$8&gt;3,LARGE('Clb Q (2)'!A$27:A$31,1),"")</f>
        <v>266.00000840889999</v>
      </c>
      <c r="G28" s="12"/>
      <c r="H28" s="180" t="str">
        <f>IF(INFO!B$8&gt;4,VLOOKUP(L28,'Clb Q (2)'!I$27:O$31,2,0),"")</f>
        <v>CRESPO AGUIRRE ROGER</v>
      </c>
      <c r="I28" s="181">
        <f>IF(INFO!B$8&gt;4,VLOOKUP(L28,'Clb Q (2)'!I$27:O$31,3,0),"")</f>
        <v>91</v>
      </c>
      <c r="J28" s="182">
        <f>IF(INFO!B$8&gt;4,VLOOKUP(L28,'Clb Q (2)'!I$27:O$31,4,0),"")</f>
        <v>91</v>
      </c>
      <c r="K28" s="183">
        <f>IF(INFO!B$8&gt;4,VLOOKUP(L28,'Clb Q (2)'!I$27:O$31,5,0),"")</f>
        <v>89</v>
      </c>
      <c r="L28" s="180">
        <f>IF(INFO!B$8&gt;4,LARGE('Clb Q (2)'!I$27:I$31,1),"")</f>
        <v>271.00000890910002</v>
      </c>
      <c r="M28" s="12"/>
    </row>
    <row r="29" spans="1:13" ht="22.15" customHeight="1">
      <c r="A29" s="176"/>
      <c r="B29" s="180" t="str">
        <f>IF(INFO!B$8&gt;3,VLOOKUP(F29,'Clb Q (2)'!A$27:G$31,2,0),"")</f>
        <v>ACHOTEGUI RICHARD</v>
      </c>
      <c r="C29" s="181">
        <f>IF(INFO!B$8&gt;3,VLOOKUP(F29,'Clb Q (2)'!A$27:G$31,3,0),"")</f>
        <v>86</v>
      </c>
      <c r="D29" s="182">
        <f>IF(INFO!B$8&gt;3,VLOOKUP(F29,'Clb Q (2)'!A$27:G$31,4,0),"")</f>
        <v>88</v>
      </c>
      <c r="E29" s="183">
        <f>IF(INFO!B$8&gt;3,VLOOKUP(F29,'Clb Q (2)'!A$27:G$31,5,0),"")</f>
        <v>85</v>
      </c>
      <c r="F29" s="180">
        <f>IF(INFO!B$8&gt;3,LARGE('Clb Q (2)'!A$27:A$31,2),"")</f>
        <v>259.00000850879997</v>
      </c>
      <c r="G29" s="12"/>
      <c r="H29" s="180" t="str">
        <f>IF(INFO!B$8&gt;4,VLOOKUP(L29,'Clb Q (2)'!I$27:O$31,2,0),"")</f>
        <v>MEURTIN VINCENT</v>
      </c>
      <c r="I29" s="181">
        <f>IF(INFO!B$8&gt;4,VLOOKUP(L29,'Clb Q (2)'!I$27:O$31,3,0),"")</f>
        <v>88</v>
      </c>
      <c r="J29" s="182">
        <f>IF(INFO!B$8&gt;4,VLOOKUP(L29,'Clb Q (2)'!I$27:O$31,4,0),"")</f>
        <v>90</v>
      </c>
      <c r="K29" s="183">
        <f>IF(INFO!B$8&gt;4,VLOOKUP(L29,'Clb Q (2)'!I$27:O$31,5,0),"")</f>
        <v>83</v>
      </c>
      <c r="L29" s="180">
        <f>IF(INFO!B$8&gt;4,LARGE('Clb Q (2)'!I$27:I$31,2),"")</f>
        <v>261.00000830900001</v>
      </c>
      <c r="M29" s="12"/>
    </row>
    <row r="30" spans="1:13" ht="22.15" customHeight="1">
      <c r="A30" s="176"/>
      <c r="B30" s="180" t="str">
        <f>IF(INFO!B$8&gt;3,VLOOKUP(F30,'Clb Q (2)'!A$27:G$31,2,0),"")</f>
        <v>KEOKINNALY HANSAY</v>
      </c>
      <c r="C30" s="181">
        <f>IF(INFO!B$8&gt;3,VLOOKUP(F30,'Clb Q (2)'!A$27:G$31,3,0),"")</f>
        <v>85</v>
      </c>
      <c r="D30" s="182">
        <f>IF(INFO!B$8&gt;3,VLOOKUP(F30,'Clb Q (2)'!A$27:G$31,4,0),"")</f>
        <v>86</v>
      </c>
      <c r="E30" s="183">
        <f>IF(INFO!B$8&gt;3,VLOOKUP(F30,'Clb Q (2)'!A$27:G$31,5,0),"")</f>
        <v>87</v>
      </c>
      <c r="F30" s="180">
        <f>IF(INFO!B$8&gt;3,LARGE('Clb Q (2)'!A$27:A$31,3),"")</f>
        <v>258.00000870860003</v>
      </c>
      <c r="G30" s="12"/>
      <c r="H30" s="180" t="str">
        <f>IF(INFO!B$8&gt;4,VLOOKUP(L30,'Clb Q (2)'!I$27:O$31,2,0),"")</f>
        <v>HIGOA BOURDILLAT LILOU</v>
      </c>
      <c r="I30" s="181">
        <f>IF(INFO!B$8&gt;4,VLOOKUP(L30,'Clb Q (2)'!I$27:O$31,3,0),"")</f>
        <v>76</v>
      </c>
      <c r="J30" s="182">
        <f>IF(INFO!B$8&gt;4,VLOOKUP(L30,'Clb Q (2)'!I$27:O$31,4,0),"")</f>
        <v>84</v>
      </c>
      <c r="K30" s="183">
        <f>IF(INFO!B$8&gt;4,VLOOKUP(L30,'Clb Q (2)'!I$27:O$31,5,0),"")</f>
        <v>79</v>
      </c>
      <c r="L30" s="180">
        <f>IF(INFO!B$8&gt;4,LARGE('Clb Q (2)'!I$27:I$31,3),"")</f>
        <v>239.00000790840002</v>
      </c>
      <c r="M30" s="12"/>
    </row>
    <row r="31" spans="1:13" ht="22.15" customHeight="1">
      <c r="A31" s="176"/>
      <c r="B31" s="180" t="str">
        <f>IF(INFO!B$8&gt;3,VLOOKUP(F31,'Clb Q (2)'!A$27:G$31,2,0),"")</f>
        <v>BOULENGUIEZ JULIEN</v>
      </c>
      <c r="C31" s="181">
        <f>IF(INFO!B$8&gt;3,VLOOKUP(F31,'Clb Q (2)'!A$27:G$31,3,0),"")</f>
        <v>78</v>
      </c>
      <c r="D31" s="182">
        <f>IF(INFO!B$8&gt;3,VLOOKUP(F31,'Clb Q (2)'!A$27:G$31,4,0),"")</f>
        <v>84</v>
      </c>
      <c r="E31" s="183">
        <f>IF(INFO!B$8&gt;3,VLOOKUP(F31,'Clb Q (2)'!A$27:G$31,5,0),"")</f>
        <v>89</v>
      </c>
      <c r="F31" s="180">
        <f>IF(INFO!B$8&gt;3,LARGE('Clb Q (2)'!A$27:A$31,4),"")</f>
        <v>251.00000890840002</v>
      </c>
      <c r="G31" s="12"/>
      <c r="H31" s="180" t="str">
        <f>IF(INFO!B$8&gt;4,VLOOKUP(L31,'Clb Q (2)'!I$27:O$31,2,0),"")</f>
        <v>HIGOA BOURDILLAT MAEL</v>
      </c>
      <c r="I31" s="181">
        <f>IF(INFO!B$8&gt;4,VLOOKUP(L31,'Clb Q (2)'!I$27:O$31,3,0),"")</f>
        <v>74</v>
      </c>
      <c r="J31" s="182">
        <f>IF(INFO!B$8&gt;4,VLOOKUP(L31,'Clb Q (2)'!I$27:O$31,4,0),"")</f>
        <v>85</v>
      </c>
      <c r="K31" s="183">
        <f>IF(INFO!B$8&gt;4,VLOOKUP(L31,'Clb Q (2)'!I$27:O$31,5,0),"")</f>
        <v>74</v>
      </c>
      <c r="L31" s="180">
        <f>IF(INFO!B$8&gt;4,LARGE('Clb Q (2)'!I$27:I$31,4),"")</f>
        <v>233.00000740849998</v>
      </c>
      <c r="M31" s="12"/>
    </row>
    <row r="32" spans="1:13" ht="22.15" customHeight="1" thickBot="1">
      <c r="A32" s="176"/>
      <c r="B32" s="184" t="str">
        <f>IF(INFO!B$8&gt;3,VLOOKUP(F32,'Clb Q (2)'!A$27:G$31,2,0),"")</f>
        <v>TAILLEUR DAMIEN</v>
      </c>
      <c r="C32" s="185">
        <f>IF(INFO!B$8&gt;3,VLOOKUP(F32,'Clb Q (2)'!A$27:G$31,3,0),"")</f>
        <v>80</v>
      </c>
      <c r="D32" s="186">
        <f>IF(INFO!B$8&gt;3,VLOOKUP(F32,'Clb Q (2)'!A$27:G$31,4,0),"")</f>
        <v>87</v>
      </c>
      <c r="E32" s="187">
        <f>IF(INFO!B$8&gt;3,VLOOKUP(F32,'Clb Q (2)'!A$27:G$31,5,0),"")</f>
        <v>84</v>
      </c>
      <c r="F32" s="184">
        <f>IF(INFO!B$8&gt;3,LARGE('Clb Q (2)'!A$27:A$31,5),"")</f>
        <v>251.00000840870001</v>
      </c>
      <c r="G32" s="12"/>
      <c r="H32" s="184" t="str">
        <f>IF(INFO!B$8&gt;4,VLOOKUP(L32,'Clb Q (2)'!I$27:O$31,2,0),"")</f>
        <v>GARIVET PATRICK</v>
      </c>
      <c r="I32" s="185">
        <f>IF(INFO!B$8&gt;4,VLOOKUP(L32,'Clb Q (2)'!I$27:O$31,3,0),"")</f>
        <v>69</v>
      </c>
      <c r="J32" s="186">
        <f>IF(INFO!B$8&gt;4,VLOOKUP(L32,'Clb Q (2)'!I$27:O$31,4,0),"")</f>
        <v>75</v>
      </c>
      <c r="K32" s="187">
        <f>IF(INFO!B$8&gt;4,VLOOKUP(L32,'Clb Q (2)'!I$27:O$31,5,0),"")</f>
        <v>69</v>
      </c>
      <c r="L32" s="184">
        <f>IF(INFO!B$8&gt;4,LARGE('Clb Q (2)'!I$27:I$31,5),"")</f>
        <v>213.00000690749999</v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5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tabSelected="1" zoomScale="80" zoomScaleNormal="80" zoomScalePageLayoutView="80" workbookViewId="0">
      <pane ySplit="3" topLeftCell="A50" activePane="bottomLeft" state="frozenSplit"/>
      <selection activeCell="B12" sqref="B12"/>
      <selection pane="bottomLeft" activeCell="M76" sqref="M76"/>
    </sheetView>
  </sheetViews>
  <sheetFormatPr baseColWidth="10" defaultColWidth="8.125" defaultRowHeight="28.15" customHeight="1" outlineLevelRow="1"/>
  <cols>
    <col min="1" max="2" width="8.125" style="23" customWidth="1"/>
    <col min="3" max="3" width="10.625" style="23" customWidth="1"/>
    <col min="4" max="5" width="8.125" style="23" customWidth="1"/>
    <col min="6" max="7" width="6.625" style="23" customWidth="1"/>
    <col min="8" max="9" width="8.125" style="23" customWidth="1"/>
    <col min="10" max="10" width="10.625" style="23" customWidth="1"/>
    <col min="11" max="12" width="6.625" style="23" customWidth="1"/>
    <col min="13" max="13" width="10.625" style="23" customWidth="1"/>
    <col min="14" max="15" width="8.125" style="23" customWidth="1"/>
    <col min="16" max="17" width="6.625" style="23" customWidth="1"/>
    <col min="18" max="19" width="8.125" style="23" customWidth="1"/>
    <col min="20" max="20" width="10.625" style="23" customWidth="1"/>
    <col min="21" max="16384" width="8.125" style="23"/>
  </cols>
  <sheetData>
    <row r="1" spans="2:21" ht="28.9" customHeight="1"/>
    <row r="2" spans="2:21" ht="63">
      <c r="B2" s="281" t="str">
        <f>CONCATENATE(INFO!B7," - ",INFO!B9)</f>
        <v>PISTOLET - AQUITAINE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spans="2:21" ht="28.9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2:21" ht="60" customHeight="1" thickBot="1">
      <c r="B4" s="268" t="s">
        <v>54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spans="2:21" s="24" customFormat="1" ht="28.15" customHeight="1" thickBot="1">
      <c r="C5" s="285" t="str">
        <f>'Clb Q'!C2</f>
        <v>ST LONS</v>
      </c>
      <c r="D5" s="286"/>
      <c r="E5" s="287"/>
      <c r="F5" s="259" t="s">
        <v>45</v>
      </c>
      <c r="G5" s="260"/>
      <c r="H5" s="285" t="str">
        <f>'Clb Q'!I2</f>
        <v/>
      </c>
      <c r="I5" s="286"/>
      <c r="J5" s="287"/>
      <c r="M5" s="285" t="str">
        <f>'Clb Q'!C18</f>
        <v>FT MONT</v>
      </c>
      <c r="N5" s="286"/>
      <c r="O5" s="287"/>
      <c r="P5" s="259" t="s">
        <v>45</v>
      </c>
      <c r="Q5" s="260"/>
      <c r="R5" s="285" t="str">
        <f>'Clb Q'!I18</f>
        <v>ST CIBOURE 2</v>
      </c>
      <c r="S5" s="286"/>
      <c r="T5" s="287"/>
    </row>
    <row r="6" spans="2:21" s="25" customFormat="1" ht="22.15" customHeight="1" outlineLevel="1">
      <c r="C6" s="282" t="str">
        <f>'Clb Q'!B4</f>
        <v>PANTELEYEV KONSTANTIN</v>
      </c>
      <c r="D6" s="283"/>
      <c r="E6" s="284"/>
      <c r="F6" s="107">
        <v>1</v>
      </c>
      <c r="G6" s="108">
        <v>2</v>
      </c>
      <c r="H6" s="282" t="str">
        <f>'Clb Q'!H4</f>
        <v/>
      </c>
      <c r="I6" s="283"/>
      <c r="J6" s="284"/>
      <c r="M6" s="282" t="str">
        <f>'Clb Q'!B20</f>
        <v>WALKER MELANIE</v>
      </c>
      <c r="N6" s="283"/>
      <c r="O6" s="284"/>
      <c r="P6" s="107">
        <v>1</v>
      </c>
      <c r="Q6" s="108">
        <v>2</v>
      </c>
      <c r="R6" s="282" t="str">
        <f>'Clb Q'!H20</f>
        <v>ROSSARD JULIEN</v>
      </c>
      <c r="S6" s="283"/>
      <c r="T6" s="284"/>
    </row>
    <row r="7" spans="2:21" s="25" customFormat="1" ht="22.15" customHeight="1" outlineLevel="1">
      <c r="C7" s="282" t="str">
        <f>'Clb Q'!B5</f>
        <v>DESTNAVE JEAN-FRANCOIS</v>
      </c>
      <c r="D7" s="283"/>
      <c r="E7" s="284"/>
      <c r="F7" s="109">
        <v>3</v>
      </c>
      <c r="G7" s="110">
        <v>4</v>
      </c>
      <c r="H7" s="282" t="str">
        <f>'Clb Q'!H5</f>
        <v/>
      </c>
      <c r="I7" s="283"/>
      <c r="J7" s="284"/>
      <c r="M7" s="282" t="str">
        <f>'Clb Q'!B21</f>
        <v>PETIT SEBASTIEN</v>
      </c>
      <c r="N7" s="283"/>
      <c r="O7" s="284"/>
      <c r="P7" s="109">
        <v>3</v>
      </c>
      <c r="Q7" s="110">
        <v>4</v>
      </c>
      <c r="R7" s="282" t="str">
        <f>'Clb Q'!H21</f>
        <v>PARNAUT MICKAEL</v>
      </c>
      <c r="S7" s="283"/>
      <c r="T7" s="284"/>
    </row>
    <row r="8" spans="2:21" s="25" customFormat="1" ht="22.15" customHeight="1" outlineLevel="1">
      <c r="C8" s="282" t="str">
        <f>'Clb Q'!B6</f>
        <v>BRENN MARJOLAINE</v>
      </c>
      <c r="D8" s="283"/>
      <c r="E8" s="284"/>
      <c r="F8" s="109">
        <v>5</v>
      </c>
      <c r="G8" s="110">
        <v>6</v>
      </c>
      <c r="H8" s="282" t="str">
        <f>'Clb Q'!H6</f>
        <v/>
      </c>
      <c r="I8" s="283"/>
      <c r="J8" s="284"/>
      <c r="M8" s="282" t="str">
        <f>'Clb Q'!B22</f>
        <v>LAFARGUE YOANN</v>
      </c>
      <c r="N8" s="283"/>
      <c r="O8" s="284"/>
      <c r="P8" s="109">
        <v>5</v>
      </c>
      <c r="Q8" s="110">
        <v>6</v>
      </c>
      <c r="R8" s="282" t="str">
        <f>'Clb Q'!H22</f>
        <v>DE AIZPURUA CHAON NORA</v>
      </c>
      <c r="S8" s="283"/>
      <c r="T8" s="284"/>
    </row>
    <row r="9" spans="2:21" s="25" customFormat="1" ht="22.15" customHeight="1" outlineLevel="1">
      <c r="C9" s="282" t="str">
        <f>'Clb Q'!B7</f>
        <v>LUX LAURENT</v>
      </c>
      <c r="D9" s="283"/>
      <c r="E9" s="284"/>
      <c r="F9" s="109">
        <v>7</v>
      </c>
      <c r="G9" s="110">
        <v>8</v>
      </c>
      <c r="H9" s="282" t="str">
        <f>'Clb Q'!H7</f>
        <v/>
      </c>
      <c r="I9" s="283"/>
      <c r="J9" s="284"/>
      <c r="M9" s="282" t="str">
        <f>'Clb Q'!B23</f>
        <v>LATOUR LAURENT</v>
      </c>
      <c r="N9" s="283"/>
      <c r="O9" s="284"/>
      <c r="P9" s="109">
        <v>7</v>
      </c>
      <c r="Q9" s="110">
        <v>8</v>
      </c>
      <c r="R9" s="282" t="str">
        <f>'Clb Q'!H23</f>
        <v>SIERRA PIERRE</v>
      </c>
      <c r="S9" s="283"/>
      <c r="T9" s="284"/>
    </row>
    <row r="10" spans="2:21" s="25" customFormat="1" ht="22.15" customHeight="1" outlineLevel="1" thickBot="1">
      <c r="C10" s="282" t="str">
        <f>'Clb Q'!B8</f>
        <v>DUHAMELLE DENIS</v>
      </c>
      <c r="D10" s="283"/>
      <c r="E10" s="284"/>
      <c r="F10" s="111">
        <v>9</v>
      </c>
      <c r="G10" s="112">
        <v>10</v>
      </c>
      <c r="H10" s="282" t="str">
        <f>'Clb Q'!H8</f>
        <v/>
      </c>
      <c r="I10" s="283"/>
      <c r="J10" s="284"/>
      <c r="M10" s="282" t="str">
        <f>'Clb Q'!B24</f>
        <v>LASCARAY THIERRY</v>
      </c>
      <c r="N10" s="283"/>
      <c r="O10" s="284"/>
      <c r="P10" s="111">
        <v>9</v>
      </c>
      <c r="Q10" s="112">
        <v>10</v>
      </c>
      <c r="R10" s="282" t="str">
        <f>'Clb Q'!H24</f>
        <v>ROCHER MICKAEL</v>
      </c>
      <c r="S10" s="283"/>
      <c r="T10" s="284"/>
    </row>
    <row r="11" spans="2:21" ht="22.15" customHeight="1">
      <c r="B11" s="26" t="str">
        <f>IF(E11="","",IF(E11&gt;2,1,0))</f>
        <v/>
      </c>
      <c r="C11" s="261" t="str">
        <f>IF(E11="","",SUM(B11:B17))</f>
        <v/>
      </c>
      <c r="D11" s="262"/>
      <c r="E11" s="58"/>
      <c r="F11" s="266"/>
      <c r="G11" s="267"/>
      <c r="H11" s="58"/>
      <c r="I11" s="288" t="str">
        <f>IF(H11="","",SUM(K11:K17))</f>
        <v/>
      </c>
      <c r="J11" s="261"/>
      <c r="K11" s="44" t="str">
        <f>IF(H11="","",IF(H11&gt;2,1,0))</f>
        <v/>
      </c>
      <c r="L11" s="26">
        <f>IF(O11="","",IF(O11&gt;2,1,0))</f>
        <v>0</v>
      </c>
      <c r="M11" s="261">
        <f>IF(O11="","",SUM(L11:L17))</f>
        <v>4</v>
      </c>
      <c r="N11" s="262"/>
      <c r="O11" s="58">
        <v>1</v>
      </c>
      <c r="P11" s="266"/>
      <c r="Q11" s="267"/>
      <c r="R11" s="58">
        <v>4</v>
      </c>
      <c r="S11" s="288">
        <f>IF(R11="","",SUM(U11:U17))</f>
        <v>1</v>
      </c>
      <c r="T11" s="261"/>
      <c r="U11" s="44">
        <f t="shared" ref="U11:U17" si="0">IF(R11="","",IF(R11&gt;2,1,0))</f>
        <v>1</v>
      </c>
    </row>
    <row r="12" spans="2:21" ht="22.15" customHeight="1">
      <c r="B12" s="26" t="str">
        <f t="shared" ref="B12:B17" si="1">IF(E12="","",IF(E12&gt;2,1,0))</f>
        <v/>
      </c>
      <c r="C12" s="263"/>
      <c r="D12" s="264"/>
      <c r="E12" s="59"/>
      <c r="F12" s="257"/>
      <c r="G12" s="258"/>
      <c r="H12" s="59"/>
      <c r="I12" s="289"/>
      <c r="J12" s="263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3"/>
      <c r="N12" s="264"/>
      <c r="O12" s="59">
        <v>5</v>
      </c>
      <c r="P12" s="257"/>
      <c r="Q12" s="258"/>
      <c r="R12" s="59">
        <v>0</v>
      </c>
      <c r="S12" s="289"/>
      <c r="T12" s="263"/>
      <c r="U12" s="44">
        <f t="shared" si="0"/>
        <v>0</v>
      </c>
    </row>
    <row r="13" spans="2:21" ht="22.15" customHeight="1">
      <c r="B13" s="26" t="str">
        <f t="shared" si="1"/>
        <v/>
      </c>
      <c r="C13" s="263"/>
      <c r="D13" s="264"/>
      <c r="E13" s="59"/>
      <c r="F13" s="257"/>
      <c r="G13" s="258"/>
      <c r="H13" s="59"/>
      <c r="I13" s="289"/>
      <c r="J13" s="263"/>
      <c r="K13" s="44" t="str">
        <f t="shared" si="2"/>
        <v/>
      </c>
      <c r="L13" s="26">
        <f t="shared" si="3"/>
        <v>1</v>
      </c>
      <c r="M13" s="263"/>
      <c r="N13" s="264"/>
      <c r="O13" s="59">
        <v>4</v>
      </c>
      <c r="P13" s="257"/>
      <c r="Q13" s="258"/>
      <c r="R13" s="59">
        <v>1</v>
      </c>
      <c r="S13" s="289"/>
      <c r="T13" s="263"/>
      <c r="U13" s="44">
        <f t="shared" si="0"/>
        <v>0</v>
      </c>
    </row>
    <row r="14" spans="2:21" ht="22.15" customHeight="1">
      <c r="B14" s="26" t="str">
        <f t="shared" si="1"/>
        <v/>
      </c>
      <c r="C14" s="263"/>
      <c r="D14" s="264"/>
      <c r="E14" s="59"/>
      <c r="F14" s="257"/>
      <c r="G14" s="258"/>
      <c r="H14" s="59"/>
      <c r="I14" s="289"/>
      <c r="J14" s="263"/>
      <c r="K14" s="44" t="str">
        <f t="shared" si="2"/>
        <v/>
      </c>
      <c r="L14" s="26">
        <f t="shared" si="3"/>
        <v>1</v>
      </c>
      <c r="M14" s="263"/>
      <c r="N14" s="264"/>
      <c r="O14" s="59">
        <v>3</v>
      </c>
      <c r="P14" s="257"/>
      <c r="Q14" s="258"/>
      <c r="R14" s="59">
        <v>2</v>
      </c>
      <c r="S14" s="289"/>
      <c r="T14" s="263"/>
      <c r="U14" s="44">
        <f t="shared" si="0"/>
        <v>0</v>
      </c>
    </row>
    <row r="15" spans="2:21" ht="22.15" customHeight="1">
      <c r="B15" s="26" t="str">
        <f t="shared" si="1"/>
        <v/>
      </c>
      <c r="C15" s="263"/>
      <c r="D15" s="264"/>
      <c r="E15" s="59"/>
      <c r="F15" s="257"/>
      <c r="G15" s="258"/>
      <c r="H15" s="59"/>
      <c r="I15" s="289"/>
      <c r="J15" s="263"/>
      <c r="K15" s="44" t="str">
        <f t="shared" si="2"/>
        <v/>
      </c>
      <c r="L15" s="26">
        <f t="shared" si="3"/>
        <v>1</v>
      </c>
      <c r="M15" s="263"/>
      <c r="N15" s="264"/>
      <c r="O15" s="59">
        <v>3</v>
      </c>
      <c r="P15" s="257"/>
      <c r="Q15" s="258"/>
      <c r="R15" s="59">
        <v>2</v>
      </c>
      <c r="S15" s="289"/>
      <c r="T15" s="263"/>
      <c r="U15" s="44">
        <f t="shared" si="0"/>
        <v>0</v>
      </c>
    </row>
    <row r="16" spans="2:21" ht="22.15" customHeight="1">
      <c r="B16" s="26" t="str">
        <f t="shared" si="1"/>
        <v/>
      </c>
      <c r="C16" s="263"/>
      <c r="D16" s="264"/>
      <c r="E16" s="59"/>
      <c r="F16" s="257"/>
      <c r="G16" s="258"/>
      <c r="H16" s="59"/>
      <c r="I16" s="289"/>
      <c r="J16" s="263"/>
      <c r="K16" s="44" t="str">
        <f t="shared" si="2"/>
        <v/>
      </c>
      <c r="L16" s="26" t="str">
        <f t="shared" si="3"/>
        <v/>
      </c>
      <c r="M16" s="263"/>
      <c r="N16" s="264"/>
      <c r="O16" s="59"/>
      <c r="P16" s="257"/>
      <c r="Q16" s="258"/>
      <c r="R16" s="59"/>
      <c r="S16" s="289"/>
      <c r="T16" s="263"/>
      <c r="U16" s="44" t="str">
        <f t="shared" si="0"/>
        <v/>
      </c>
    </row>
    <row r="17" spans="2:21" ht="22.15" customHeight="1" thickBot="1">
      <c r="B17" s="26" t="str">
        <f t="shared" si="1"/>
        <v/>
      </c>
      <c r="C17" s="263"/>
      <c r="D17" s="264"/>
      <c r="E17" s="60"/>
      <c r="F17" s="257"/>
      <c r="G17" s="258"/>
      <c r="H17" s="60"/>
      <c r="I17" s="289"/>
      <c r="J17" s="263"/>
      <c r="K17" s="44" t="str">
        <f t="shared" si="2"/>
        <v/>
      </c>
      <c r="L17" s="26" t="str">
        <f t="shared" si="3"/>
        <v/>
      </c>
      <c r="M17" s="263"/>
      <c r="N17" s="264"/>
      <c r="O17" s="60"/>
      <c r="P17" s="257"/>
      <c r="Q17" s="258"/>
      <c r="R17" s="60"/>
      <c r="S17" s="289"/>
      <c r="T17" s="263"/>
      <c r="U17" s="44" t="str">
        <f t="shared" si="0"/>
        <v/>
      </c>
    </row>
    <row r="18" spans="2:21" ht="30" customHeight="1" thickBot="1"/>
    <row r="19" spans="2:21" s="24" customFormat="1" ht="28.15" customHeight="1" thickBot="1">
      <c r="C19" s="285" t="str">
        <f>'Clb Q'!I26</f>
        <v>ST CIBOURE 3</v>
      </c>
      <c r="D19" s="286"/>
      <c r="E19" s="287"/>
      <c r="F19" s="259" t="s">
        <v>45</v>
      </c>
      <c r="G19" s="260"/>
      <c r="H19" s="285" t="str">
        <f>'Clb Q'!C26</f>
        <v>ST CIBOURE 1</v>
      </c>
      <c r="I19" s="286"/>
      <c r="J19" s="287"/>
      <c r="M19" s="285" t="str">
        <f>'Clb Q'!I10</f>
        <v/>
      </c>
      <c r="N19" s="286"/>
      <c r="O19" s="287"/>
      <c r="P19" s="259" t="s">
        <v>45</v>
      </c>
      <c r="Q19" s="260"/>
      <c r="R19" s="285" t="str">
        <f>'Clb Q'!C10</f>
        <v>PAS DE TIR DU VERT GALANT</v>
      </c>
      <c r="S19" s="286"/>
      <c r="T19" s="287"/>
    </row>
    <row r="20" spans="2:21" s="25" customFormat="1" ht="22.15" customHeight="1" outlineLevel="1">
      <c r="C20" s="282" t="str">
        <f>'Clb Q'!H28</f>
        <v>CRESPO AGUIRRE ROGER</v>
      </c>
      <c r="D20" s="283"/>
      <c r="E20" s="284"/>
      <c r="F20" s="107">
        <v>11</v>
      </c>
      <c r="G20" s="108">
        <v>12</v>
      </c>
      <c r="H20" s="282" t="str">
        <f>'Clb Q'!B28</f>
        <v>ROUQUETTE JEAN-LOUIS</v>
      </c>
      <c r="I20" s="283"/>
      <c r="J20" s="284"/>
      <c r="M20" s="282" t="str">
        <f>'Clb Q'!H12</f>
        <v/>
      </c>
      <c r="N20" s="283"/>
      <c r="O20" s="284"/>
      <c r="P20" s="107">
        <v>11</v>
      </c>
      <c r="Q20" s="108">
        <v>12</v>
      </c>
      <c r="R20" s="282" t="str">
        <f>'Clb Q'!B12</f>
        <v>SUCERE MARIE</v>
      </c>
      <c r="S20" s="283"/>
      <c r="T20" s="284"/>
    </row>
    <row r="21" spans="2:21" s="25" customFormat="1" ht="22.15" customHeight="1" outlineLevel="1">
      <c r="C21" s="282" t="str">
        <f>'Clb Q'!H29</f>
        <v>MEURTIN VINCENT</v>
      </c>
      <c r="D21" s="283"/>
      <c r="E21" s="284"/>
      <c r="F21" s="109">
        <v>13</v>
      </c>
      <c r="G21" s="110">
        <v>14</v>
      </c>
      <c r="H21" s="282" t="str">
        <f>'Clb Q'!B29</f>
        <v>ACHOTEGUI RICHARD</v>
      </c>
      <c r="I21" s="283"/>
      <c r="J21" s="284"/>
      <c r="M21" s="282" t="str">
        <f>'Clb Q'!H13</f>
        <v/>
      </c>
      <c r="N21" s="283"/>
      <c r="O21" s="284"/>
      <c r="P21" s="109">
        <v>13</v>
      </c>
      <c r="Q21" s="110">
        <v>14</v>
      </c>
      <c r="R21" s="282" t="str">
        <f>'Clb Q'!B13</f>
        <v>AMATI JEAN PASCAL</v>
      </c>
      <c r="S21" s="283"/>
      <c r="T21" s="284"/>
    </row>
    <row r="22" spans="2:21" s="25" customFormat="1" ht="22.15" customHeight="1" outlineLevel="1">
      <c r="C22" s="282" t="str">
        <f>'Clb Q'!H30</f>
        <v>HIGOA BOURDILLAT LILOU</v>
      </c>
      <c r="D22" s="283"/>
      <c r="E22" s="284"/>
      <c r="F22" s="109">
        <v>15</v>
      </c>
      <c r="G22" s="110">
        <v>16</v>
      </c>
      <c r="H22" s="282" t="str">
        <f>'Clb Q'!B30</f>
        <v>KEOKINNALY HANSAY</v>
      </c>
      <c r="I22" s="283"/>
      <c r="J22" s="284"/>
      <c r="M22" s="282" t="str">
        <f>'Clb Q'!H14</f>
        <v/>
      </c>
      <c r="N22" s="283"/>
      <c r="O22" s="284"/>
      <c r="P22" s="109">
        <v>15</v>
      </c>
      <c r="Q22" s="110">
        <v>16</v>
      </c>
      <c r="R22" s="282" t="str">
        <f>'Clb Q'!B14</f>
        <v>CWERNER BENOIT</v>
      </c>
      <c r="S22" s="283"/>
      <c r="T22" s="284"/>
    </row>
    <row r="23" spans="2:21" s="25" customFormat="1" ht="22.15" customHeight="1" outlineLevel="1">
      <c r="C23" s="282" t="str">
        <f>'Clb Q'!H31</f>
        <v>HIGOA BOURDILLAT MAEL</v>
      </c>
      <c r="D23" s="283"/>
      <c r="E23" s="284"/>
      <c r="F23" s="109">
        <v>17</v>
      </c>
      <c r="G23" s="110">
        <v>18</v>
      </c>
      <c r="H23" s="282" t="str">
        <f>'Clb Q'!B31</f>
        <v>BOULENGUIEZ JULIEN</v>
      </c>
      <c r="I23" s="283"/>
      <c r="J23" s="284"/>
      <c r="M23" s="282" t="str">
        <f>'Clb Q'!H15</f>
        <v/>
      </c>
      <c r="N23" s="283"/>
      <c r="O23" s="284"/>
      <c r="P23" s="109">
        <v>17</v>
      </c>
      <c r="Q23" s="110">
        <v>18</v>
      </c>
      <c r="R23" s="282" t="str">
        <f>'Clb Q'!B15</f>
        <v>BACHACOU ROMAIN</v>
      </c>
      <c r="S23" s="283"/>
      <c r="T23" s="284"/>
    </row>
    <row r="24" spans="2:21" s="25" customFormat="1" ht="22.15" customHeight="1" outlineLevel="1" thickBot="1">
      <c r="C24" s="282" t="str">
        <f>'Clb Q'!H32</f>
        <v>GARIVET PATRICK</v>
      </c>
      <c r="D24" s="283"/>
      <c r="E24" s="284"/>
      <c r="F24" s="111">
        <v>19</v>
      </c>
      <c r="G24" s="112">
        <v>20</v>
      </c>
      <c r="H24" s="282" t="str">
        <f>'Clb Q'!B32</f>
        <v>TAILLEUR DAMIEN</v>
      </c>
      <c r="I24" s="283"/>
      <c r="J24" s="284"/>
      <c r="M24" s="282" t="str">
        <f>'Clb Q'!H16</f>
        <v/>
      </c>
      <c r="N24" s="283"/>
      <c r="O24" s="284"/>
      <c r="P24" s="111">
        <v>19</v>
      </c>
      <c r="Q24" s="112">
        <v>20</v>
      </c>
      <c r="R24" s="282" t="str">
        <f>'Clb Q'!B16</f>
        <v>BAJU JEAN ROBERT</v>
      </c>
      <c r="S24" s="283"/>
      <c r="T24" s="284"/>
    </row>
    <row r="25" spans="2:21" ht="22.15" customHeight="1">
      <c r="B25" s="26">
        <f>IF(E25="","",IF(E25&gt;2,1,0))</f>
        <v>1</v>
      </c>
      <c r="C25" s="261">
        <f>IF(E25="","",SUM(B25:B31))</f>
        <v>2</v>
      </c>
      <c r="D25" s="262"/>
      <c r="E25" s="58">
        <v>3</v>
      </c>
      <c r="F25" s="266"/>
      <c r="G25" s="267"/>
      <c r="H25" s="58">
        <v>2</v>
      </c>
      <c r="I25" s="288">
        <f>IF(H25="","",SUM(K25:K31))</f>
        <v>4</v>
      </c>
      <c r="J25" s="261"/>
      <c r="K25" s="44">
        <f>IF(H25="","",IF(H25&gt;2,1,0))</f>
        <v>0</v>
      </c>
      <c r="L25" s="26">
        <f>IF(O25="","",IF(O25&gt;2,1,0))</f>
        <v>0</v>
      </c>
      <c r="M25" s="261">
        <f>IF(O25="","",SUM(L25:L31))</f>
        <v>0</v>
      </c>
      <c r="N25" s="262"/>
      <c r="O25" s="58">
        <v>0</v>
      </c>
      <c r="P25" s="266"/>
      <c r="Q25" s="267"/>
      <c r="R25" s="58"/>
      <c r="S25" s="288" t="str">
        <f>IF(R25="","",SUM(U25:U31))</f>
        <v/>
      </c>
      <c r="T25" s="261"/>
      <c r="U25" s="44" t="str">
        <f>IF(R25="","",IF(R25&gt;2,1,0))</f>
        <v/>
      </c>
    </row>
    <row r="26" spans="2:21" ht="22.15" customHeight="1">
      <c r="B26" s="26">
        <f t="shared" ref="B26:B31" si="4">IF(E26="","",IF(E26&gt;2,1,0))</f>
        <v>0</v>
      </c>
      <c r="C26" s="263"/>
      <c r="D26" s="264"/>
      <c r="E26" s="59">
        <v>2</v>
      </c>
      <c r="F26" s="257"/>
      <c r="G26" s="258"/>
      <c r="H26" s="59">
        <v>3</v>
      </c>
      <c r="I26" s="289"/>
      <c r="J26" s="263"/>
      <c r="K26" s="44">
        <f t="shared" ref="K26:K31" si="5">IF(H26="","",IF(H26&gt;2,1,0))</f>
        <v>1</v>
      </c>
      <c r="L26" s="26">
        <f t="shared" ref="L26:L31" si="6">IF(O26="","",IF(O26&gt;2,1,0))</f>
        <v>0</v>
      </c>
      <c r="M26" s="263"/>
      <c r="N26" s="264"/>
      <c r="O26" s="59">
        <v>0</v>
      </c>
      <c r="P26" s="257"/>
      <c r="Q26" s="258"/>
      <c r="R26" s="59"/>
      <c r="S26" s="289"/>
      <c r="T26" s="263"/>
      <c r="U26" s="44" t="str">
        <f t="shared" ref="U26:U31" si="7">IF(R26="","",IF(R26&gt;2,1,0))</f>
        <v/>
      </c>
    </row>
    <row r="27" spans="2:21" ht="22.15" customHeight="1">
      <c r="B27" s="26">
        <f t="shared" si="4"/>
        <v>1</v>
      </c>
      <c r="C27" s="263"/>
      <c r="D27" s="264"/>
      <c r="E27" s="59">
        <v>3</v>
      </c>
      <c r="F27" s="257"/>
      <c r="G27" s="258"/>
      <c r="H27" s="59">
        <v>2</v>
      </c>
      <c r="I27" s="289"/>
      <c r="J27" s="263"/>
      <c r="K27" s="44">
        <f t="shared" si="5"/>
        <v>0</v>
      </c>
      <c r="L27" s="26">
        <f t="shared" si="6"/>
        <v>0</v>
      </c>
      <c r="M27" s="263"/>
      <c r="N27" s="264"/>
      <c r="O27" s="59">
        <v>0</v>
      </c>
      <c r="P27" s="257"/>
      <c r="Q27" s="258"/>
      <c r="R27" s="59"/>
      <c r="S27" s="289"/>
      <c r="T27" s="263"/>
      <c r="U27" s="44" t="str">
        <f t="shared" si="7"/>
        <v/>
      </c>
    </row>
    <row r="28" spans="2:21" ht="22.15" customHeight="1">
      <c r="B28" s="26">
        <f t="shared" si="4"/>
        <v>0</v>
      </c>
      <c r="C28" s="263"/>
      <c r="D28" s="264"/>
      <c r="E28" s="59">
        <v>1</v>
      </c>
      <c r="F28" s="257"/>
      <c r="G28" s="258"/>
      <c r="H28" s="59">
        <v>4</v>
      </c>
      <c r="I28" s="289"/>
      <c r="J28" s="263"/>
      <c r="K28" s="44">
        <f t="shared" si="5"/>
        <v>1</v>
      </c>
      <c r="L28" s="26">
        <f t="shared" si="6"/>
        <v>0</v>
      </c>
      <c r="M28" s="263"/>
      <c r="N28" s="264"/>
      <c r="O28" s="59">
        <v>0</v>
      </c>
      <c r="P28" s="257"/>
      <c r="Q28" s="258"/>
      <c r="R28" s="59"/>
      <c r="S28" s="289"/>
      <c r="T28" s="263"/>
      <c r="U28" s="44" t="str">
        <f t="shared" si="7"/>
        <v/>
      </c>
    </row>
    <row r="29" spans="2:21" ht="22.15" customHeight="1">
      <c r="B29" s="26">
        <f t="shared" si="4"/>
        <v>0</v>
      </c>
      <c r="C29" s="263"/>
      <c r="D29" s="264"/>
      <c r="E29" s="59">
        <v>0</v>
      </c>
      <c r="F29" s="257"/>
      <c r="G29" s="258"/>
      <c r="H29" s="59">
        <v>5</v>
      </c>
      <c r="I29" s="289"/>
      <c r="J29" s="263"/>
      <c r="K29" s="44">
        <f t="shared" si="5"/>
        <v>1</v>
      </c>
      <c r="L29" s="26" t="str">
        <f t="shared" si="6"/>
        <v/>
      </c>
      <c r="M29" s="263"/>
      <c r="N29" s="264"/>
      <c r="O29" s="59"/>
      <c r="P29" s="257"/>
      <c r="Q29" s="258"/>
      <c r="R29" s="59"/>
      <c r="S29" s="289"/>
      <c r="T29" s="263"/>
      <c r="U29" s="44" t="str">
        <f t="shared" si="7"/>
        <v/>
      </c>
    </row>
    <row r="30" spans="2:21" ht="22.15" customHeight="1">
      <c r="B30" s="26">
        <f t="shared" si="4"/>
        <v>0</v>
      </c>
      <c r="C30" s="263"/>
      <c r="D30" s="264"/>
      <c r="E30" s="59">
        <v>2</v>
      </c>
      <c r="F30" s="257"/>
      <c r="G30" s="258"/>
      <c r="H30" s="59">
        <v>3</v>
      </c>
      <c r="I30" s="289"/>
      <c r="J30" s="263"/>
      <c r="K30" s="44">
        <f t="shared" si="5"/>
        <v>1</v>
      </c>
      <c r="L30" s="26" t="str">
        <f t="shared" si="6"/>
        <v/>
      </c>
      <c r="M30" s="263"/>
      <c r="N30" s="264"/>
      <c r="O30" s="59"/>
      <c r="P30" s="257"/>
      <c r="Q30" s="258"/>
      <c r="R30" s="59"/>
      <c r="S30" s="289"/>
      <c r="T30" s="263"/>
      <c r="U30" s="44" t="str">
        <f t="shared" si="7"/>
        <v/>
      </c>
    </row>
    <row r="31" spans="2:21" ht="22.15" customHeight="1" thickBot="1">
      <c r="B31" s="26" t="str">
        <f t="shared" si="4"/>
        <v/>
      </c>
      <c r="C31" s="263"/>
      <c r="D31" s="264"/>
      <c r="E31" s="60"/>
      <c r="F31" s="257"/>
      <c r="G31" s="258"/>
      <c r="H31" s="60"/>
      <c r="I31" s="289"/>
      <c r="J31" s="263"/>
      <c r="K31" s="44" t="str">
        <f t="shared" si="5"/>
        <v/>
      </c>
      <c r="L31" s="26" t="str">
        <f t="shared" si="6"/>
        <v/>
      </c>
      <c r="M31" s="263"/>
      <c r="N31" s="264"/>
      <c r="O31" s="60"/>
      <c r="P31" s="257"/>
      <c r="Q31" s="258"/>
      <c r="R31" s="60"/>
      <c r="S31" s="289"/>
      <c r="T31" s="263"/>
      <c r="U31" s="44" t="str">
        <f t="shared" si="7"/>
        <v/>
      </c>
    </row>
    <row r="32" spans="2:21" ht="400.15" hidden="1" customHeight="1" outlineLevel="1"/>
    <row r="33" spans="2:21" ht="100.15" hidden="1" customHeight="1" outlineLevel="1"/>
    <row r="34" spans="2:21" ht="60" customHeight="1" collapsed="1" thickBot="1">
      <c r="B34" s="268" t="s">
        <v>1</v>
      </c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</row>
    <row r="35" spans="2:21" s="24" customFormat="1" ht="28.15" customHeight="1" thickBot="1">
      <c r="C35" s="293" t="str">
        <f>IF(H5="",C5,IF(C11="","",IF(I11="","",IF(C11&gt;3,C5,IF(I11&gt;3,H5,"")))))</f>
        <v>ST LONS</v>
      </c>
      <c r="D35" s="294"/>
      <c r="E35" s="295"/>
      <c r="F35" s="259" t="s">
        <v>45</v>
      </c>
      <c r="G35" s="260"/>
      <c r="H35" s="293" t="str">
        <f>IF(C19="",H19,IF(C25="","",IF(I25="","",IF(C25&gt;3,C19,IF(I25&gt;3,H19,"")))))</f>
        <v>ST CIBOURE 1</v>
      </c>
      <c r="I35" s="294"/>
      <c r="J35" s="295"/>
      <c r="K35" s="23"/>
      <c r="M35" s="293" t="str">
        <f>IF(R5="",M5,IF(M11="","",IF(S11="","",IF(M11&gt;3,M5,IF(S11&gt;3,R5,"")))))</f>
        <v>FT MONT</v>
      </c>
      <c r="N35" s="294"/>
      <c r="O35" s="295"/>
      <c r="P35" s="259" t="s">
        <v>45</v>
      </c>
      <c r="Q35" s="260"/>
      <c r="R35" s="293" t="str">
        <f>IF(M19="",R19,IF(M25="","",IF(S25="","",IF(M25&gt;3,M19,IF(S25&gt;3,R19,"")))))</f>
        <v>PAS DE TIR DU VERT GALANT</v>
      </c>
      <c r="S35" s="294"/>
      <c r="T35" s="295"/>
    </row>
    <row r="36" spans="2:21" s="25" customFormat="1" ht="22.15" customHeight="1" outlineLevel="1">
      <c r="C36" s="269" t="str">
        <f>IF(H6="",C6,IF(C11="","",IF(I11="","",IF(C11&gt;3,C6,IF(I11&gt;3,H6,"")))))</f>
        <v>PANTELEYEV KONSTANTIN</v>
      </c>
      <c r="D36" s="270"/>
      <c r="E36" s="271"/>
      <c r="F36" s="113">
        <v>1</v>
      </c>
      <c r="G36" s="114">
        <v>2</v>
      </c>
      <c r="H36" s="269" t="str">
        <f>IF(C20="",H20,IF(C25="","",IF(I25="","",IF(C25&gt;3,C20,IF(I25&gt;3,H20,"")))))</f>
        <v>ROUQUETTE JEAN-LOUIS</v>
      </c>
      <c r="I36" s="270"/>
      <c r="J36" s="271"/>
      <c r="K36" s="23"/>
      <c r="M36" s="269" t="str">
        <f>IF(R6="",M6,IF(M11="","",IF(S11="","",IF(M11&gt;3,M6,IF(S11&gt;3,R6,"")))))</f>
        <v>WALKER MELANIE</v>
      </c>
      <c r="N36" s="270"/>
      <c r="O36" s="271"/>
      <c r="P36" s="113">
        <v>11</v>
      </c>
      <c r="Q36" s="114">
        <v>12</v>
      </c>
      <c r="R36" s="269" t="str">
        <f>IF(M20="",R20,IF(M25="","",IF(S25="","",IF(M25&gt;3,M20,IF(S25&gt;3,R20,"")))))</f>
        <v>SUCERE MARIE</v>
      </c>
      <c r="S36" s="270"/>
      <c r="T36" s="271"/>
      <c r="U36" s="45"/>
    </row>
    <row r="37" spans="2:21" s="25" customFormat="1" ht="22.15" customHeight="1" outlineLevel="1">
      <c r="C37" s="269" t="str">
        <f>IF(H7="",C7,IF(C11="","",IF(I11="","",IF(C11&gt;3,C7,IF(I11&gt;3,H7,"")))))</f>
        <v>DESTNAVE JEAN-FRANCOIS</v>
      </c>
      <c r="D37" s="270"/>
      <c r="E37" s="271"/>
      <c r="F37" s="115">
        <v>3</v>
      </c>
      <c r="G37" s="116">
        <v>4</v>
      </c>
      <c r="H37" s="269" t="str">
        <f>IF(C21="",H21,IF(C25="","",IF(I25="","",IF(C25&gt;3,C21,IF(I25&gt;3,H21,"")))))</f>
        <v>ACHOTEGUI RICHARD</v>
      </c>
      <c r="I37" s="270"/>
      <c r="J37" s="271"/>
      <c r="K37" s="23"/>
      <c r="M37" s="269" t="str">
        <f>IF(R7="",M7,IF(M11="","",IF(S11="","",IF(M11&gt;3,M7,IF(S11&gt;3,R7,"")))))</f>
        <v>PETIT SEBASTIEN</v>
      </c>
      <c r="N37" s="270"/>
      <c r="O37" s="271"/>
      <c r="P37" s="115">
        <v>13</v>
      </c>
      <c r="Q37" s="116">
        <v>14</v>
      </c>
      <c r="R37" s="269" t="str">
        <f>IF(M21="",R21,IF(M25="","",IF(S25="","",IF(M25&gt;3,M21,IF(S25&gt;3,R21,"")))))</f>
        <v>AMATI JEAN PASCAL</v>
      </c>
      <c r="S37" s="270"/>
      <c r="T37" s="271"/>
      <c r="U37" s="45"/>
    </row>
    <row r="38" spans="2:21" s="25" customFormat="1" ht="22.15" customHeight="1" outlineLevel="1">
      <c r="C38" s="269" t="str">
        <f>IF(H8="",C8,IF(C11="","",IF(I11="","",IF(C11&gt;3,C8,IF(I11&gt;3,H8,"")))))</f>
        <v>BRENN MARJOLAINE</v>
      </c>
      <c r="D38" s="270"/>
      <c r="E38" s="271"/>
      <c r="F38" s="115">
        <v>5</v>
      </c>
      <c r="G38" s="116">
        <v>6</v>
      </c>
      <c r="H38" s="269" t="str">
        <f>IF(C22="",H22,IF(C25="","",IF(I25="","",IF(C25&gt;3,C22,IF(I25&gt;3,H22,"")))))</f>
        <v>KEOKINNALY HANSAY</v>
      </c>
      <c r="I38" s="270"/>
      <c r="J38" s="271"/>
      <c r="K38" s="23"/>
      <c r="M38" s="269" t="str">
        <f>IF(R8="",M8,IF(M11="","",IF(S11="","",IF(M11&gt;3,M8,IF(S11&gt;3,R8,"")))))</f>
        <v>LAFARGUE YOANN</v>
      </c>
      <c r="N38" s="270"/>
      <c r="O38" s="271"/>
      <c r="P38" s="115">
        <v>15</v>
      </c>
      <c r="Q38" s="116">
        <v>16</v>
      </c>
      <c r="R38" s="269" t="str">
        <f>IF(M22="",R22,IF(M25="","",IF(S25="","",IF(M25&gt;3,M22,IF(S25&gt;3,R22,"")))))</f>
        <v>CWERNER BENOIT</v>
      </c>
      <c r="S38" s="270"/>
      <c r="T38" s="271"/>
      <c r="U38" s="45"/>
    </row>
    <row r="39" spans="2:21" s="25" customFormat="1" ht="22.15" customHeight="1" outlineLevel="1">
      <c r="C39" s="269" t="str">
        <f>IF(H9="",C9,IF(C11="","",IF(I11="","",IF(C11&gt;3,C9,IF(I11&gt;3,H9,"")))))</f>
        <v>LUX LAURENT</v>
      </c>
      <c r="D39" s="270"/>
      <c r="E39" s="271"/>
      <c r="F39" s="115">
        <v>7</v>
      </c>
      <c r="G39" s="116">
        <v>8</v>
      </c>
      <c r="H39" s="269" t="str">
        <f>IF(C23="",H23,IF(C25="","",IF(I25="","",IF(C25&gt;3,C23,IF(I25&gt;3,H23,"")))))</f>
        <v>BOULENGUIEZ JULIEN</v>
      </c>
      <c r="I39" s="270"/>
      <c r="J39" s="271"/>
      <c r="K39" s="23"/>
      <c r="M39" s="269" t="str">
        <f>IF(R9="",M9,IF(M11="","",IF(S11="","",IF(M11&gt;3,M9,IF(S11&gt;3,R9,"")))))</f>
        <v>LATOUR LAURENT</v>
      </c>
      <c r="N39" s="270"/>
      <c r="O39" s="271"/>
      <c r="P39" s="115">
        <v>17</v>
      </c>
      <c r="Q39" s="116">
        <v>18</v>
      </c>
      <c r="R39" s="269" t="str">
        <f>IF(M23="",R23,IF(M25="","",IF(S25="","",IF(M25&gt;3,M23,IF(S25&gt;3,R23,"")))))</f>
        <v>BACHACOU ROMAIN</v>
      </c>
      <c r="S39" s="270"/>
      <c r="T39" s="271"/>
      <c r="U39" s="45"/>
    </row>
    <row r="40" spans="2:21" s="25" customFormat="1" ht="22.15" customHeight="1" outlineLevel="1" thickBot="1">
      <c r="C40" s="269" t="str">
        <f>IF(H10="",C10,IF(C11="","",IF(I11="","",IF(C11&gt;3,C10,IF(I11&gt;3,H10,"")))))</f>
        <v>DUHAMELLE DENIS</v>
      </c>
      <c r="D40" s="270"/>
      <c r="E40" s="271"/>
      <c r="F40" s="117">
        <v>9</v>
      </c>
      <c r="G40" s="118">
        <v>10</v>
      </c>
      <c r="H40" s="269" t="str">
        <f>IF(C24="",H24,IF(C25="","",IF(I25="","",IF(C25&gt;3,C24,IF(I25&gt;3,H24,"")))))</f>
        <v>TAILLEUR DAMIEN</v>
      </c>
      <c r="I40" s="270"/>
      <c r="J40" s="271"/>
      <c r="K40" s="23"/>
      <c r="M40" s="269" t="str">
        <f>IF(R10="",M10,IF(M11="","",IF(S11="","",IF(M11&gt;3,M10,IF(S11&gt;3,R10,"")))))</f>
        <v>LASCARAY THIERRY</v>
      </c>
      <c r="N40" s="270"/>
      <c r="O40" s="271"/>
      <c r="P40" s="117">
        <v>19</v>
      </c>
      <c r="Q40" s="118">
        <v>20</v>
      </c>
      <c r="R40" s="269" t="str">
        <f>IF(M24="",R24,IF(M25="","",IF(S25="","",IF(M25&gt;3,M24,IF(S25&gt;3,R24,"")))))</f>
        <v>BAJU JEAN ROBERT</v>
      </c>
      <c r="S40" s="270"/>
      <c r="T40" s="271"/>
      <c r="U40" s="45"/>
    </row>
    <row r="41" spans="2:21" ht="22.15" customHeight="1">
      <c r="B41" s="26">
        <f>IF(E41="","",IF(E41&gt;2,1,0))</f>
        <v>0</v>
      </c>
      <c r="C41" s="261">
        <f>IF(E41="","",SUM(B41:B47))</f>
        <v>4</v>
      </c>
      <c r="D41" s="262"/>
      <c r="E41" s="58">
        <v>2</v>
      </c>
      <c r="F41" s="266"/>
      <c r="G41" s="267"/>
      <c r="H41" s="58">
        <v>3</v>
      </c>
      <c r="I41" s="288">
        <f>IF(H41="","",SUM(K41:K47))</f>
        <v>2</v>
      </c>
      <c r="J41" s="261"/>
      <c r="K41" s="44">
        <f>IF(H41="","",IF(H41&gt;2,1,0))</f>
        <v>1</v>
      </c>
      <c r="L41" s="26">
        <f>IF(O41="","",IF(O41&gt;2,1,0))</f>
        <v>0</v>
      </c>
      <c r="M41" s="261">
        <f>IF(O41="","",SUM(L41:L47))</f>
        <v>4</v>
      </c>
      <c r="N41" s="262"/>
      <c r="O41" s="58">
        <v>2</v>
      </c>
      <c r="P41" s="266"/>
      <c r="Q41" s="267"/>
      <c r="R41" s="58">
        <v>3</v>
      </c>
      <c r="S41" s="288">
        <f>IF(R41="","",SUM(U41:U47))</f>
        <v>2</v>
      </c>
      <c r="T41" s="261"/>
      <c r="U41" s="44">
        <f>IF(R41="","",IF(R41&gt;2,1,0))</f>
        <v>1</v>
      </c>
    </row>
    <row r="42" spans="2:21" ht="22.15" customHeight="1">
      <c r="B42" s="26">
        <f t="shared" ref="B42:B47" si="8">IF(E42="","",IF(E42&gt;2,1,0))</f>
        <v>1</v>
      </c>
      <c r="C42" s="263"/>
      <c r="D42" s="264"/>
      <c r="E42" s="59">
        <v>3</v>
      </c>
      <c r="F42" s="257"/>
      <c r="G42" s="258"/>
      <c r="H42" s="59">
        <v>2</v>
      </c>
      <c r="I42" s="289"/>
      <c r="J42" s="263"/>
      <c r="K42" s="44">
        <f t="shared" ref="K42:K47" si="9">IF(H42="","",IF(H42&gt;2,1,0))</f>
        <v>0</v>
      </c>
      <c r="L42" s="26">
        <f t="shared" ref="L42:L47" si="10">IF(O42="","",IF(O42&gt;2,1,0))</f>
        <v>1</v>
      </c>
      <c r="M42" s="263"/>
      <c r="N42" s="264"/>
      <c r="O42" s="59">
        <v>3</v>
      </c>
      <c r="P42" s="257"/>
      <c r="Q42" s="258"/>
      <c r="R42" s="59">
        <v>2</v>
      </c>
      <c r="S42" s="289"/>
      <c r="T42" s="263"/>
      <c r="U42" s="44">
        <f t="shared" ref="U42:U47" si="11">IF(R42="","",IF(R42&gt;2,1,0))</f>
        <v>0</v>
      </c>
    </row>
    <row r="43" spans="2:21" ht="22.15" customHeight="1">
      <c r="B43" s="26">
        <f t="shared" si="8"/>
        <v>1</v>
      </c>
      <c r="C43" s="263"/>
      <c r="D43" s="264"/>
      <c r="E43" s="59">
        <v>3</v>
      </c>
      <c r="F43" s="257"/>
      <c r="G43" s="258"/>
      <c r="H43" s="59">
        <v>2</v>
      </c>
      <c r="I43" s="289"/>
      <c r="J43" s="263"/>
      <c r="K43" s="44">
        <f t="shared" si="9"/>
        <v>0</v>
      </c>
      <c r="L43" s="26">
        <f t="shared" si="10"/>
        <v>1</v>
      </c>
      <c r="M43" s="263"/>
      <c r="N43" s="264"/>
      <c r="O43" s="59">
        <v>4</v>
      </c>
      <c r="P43" s="257"/>
      <c r="Q43" s="258"/>
      <c r="R43" s="59">
        <v>1</v>
      </c>
      <c r="S43" s="289"/>
      <c r="T43" s="263"/>
      <c r="U43" s="44">
        <f t="shared" si="11"/>
        <v>0</v>
      </c>
    </row>
    <row r="44" spans="2:21" ht="22.15" customHeight="1">
      <c r="B44" s="26">
        <f t="shared" si="8"/>
        <v>0</v>
      </c>
      <c r="C44" s="263"/>
      <c r="D44" s="264"/>
      <c r="E44" s="59">
        <v>2</v>
      </c>
      <c r="F44" s="257"/>
      <c r="G44" s="258"/>
      <c r="H44" s="59">
        <v>3</v>
      </c>
      <c r="I44" s="289"/>
      <c r="J44" s="263"/>
      <c r="K44" s="44">
        <f t="shared" si="9"/>
        <v>1</v>
      </c>
      <c r="L44" s="26">
        <f t="shared" si="10"/>
        <v>1</v>
      </c>
      <c r="M44" s="263"/>
      <c r="N44" s="264"/>
      <c r="O44" s="59">
        <v>3</v>
      </c>
      <c r="P44" s="257"/>
      <c r="Q44" s="258"/>
      <c r="R44" s="59">
        <v>2</v>
      </c>
      <c r="S44" s="289"/>
      <c r="T44" s="263"/>
      <c r="U44" s="44">
        <f t="shared" si="11"/>
        <v>0</v>
      </c>
    </row>
    <row r="45" spans="2:21" ht="22.15" customHeight="1">
      <c r="B45" s="26">
        <f t="shared" si="8"/>
        <v>1</v>
      </c>
      <c r="C45" s="263"/>
      <c r="D45" s="264"/>
      <c r="E45" s="59">
        <v>3</v>
      </c>
      <c r="F45" s="257"/>
      <c r="G45" s="258"/>
      <c r="H45" s="59">
        <v>2</v>
      </c>
      <c r="I45" s="289"/>
      <c r="J45" s="263"/>
      <c r="K45" s="44">
        <f t="shared" si="9"/>
        <v>0</v>
      </c>
      <c r="L45" s="26">
        <f t="shared" si="10"/>
        <v>0</v>
      </c>
      <c r="M45" s="263"/>
      <c r="N45" s="264"/>
      <c r="O45" s="59">
        <v>1</v>
      </c>
      <c r="P45" s="257"/>
      <c r="Q45" s="258"/>
      <c r="R45" s="59">
        <v>4</v>
      </c>
      <c r="S45" s="289"/>
      <c r="T45" s="263"/>
      <c r="U45" s="44">
        <f t="shared" si="11"/>
        <v>1</v>
      </c>
    </row>
    <row r="46" spans="2:21" ht="22.15" customHeight="1">
      <c r="B46" s="26">
        <f t="shared" si="8"/>
        <v>1</v>
      </c>
      <c r="C46" s="263"/>
      <c r="D46" s="264"/>
      <c r="E46" s="59">
        <v>4</v>
      </c>
      <c r="F46" s="257"/>
      <c r="G46" s="258"/>
      <c r="H46" s="59">
        <v>1</v>
      </c>
      <c r="I46" s="289"/>
      <c r="J46" s="263"/>
      <c r="K46" s="44">
        <f t="shared" si="9"/>
        <v>0</v>
      </c>
      <c r="L46" s="26">
        <f t="shared" si="10"/>
        <v>1</v>
      </c>
      <c r="M46" s="263"/>
      <c r="N46" s="264"/>
      <c r="O46" s="59">
        <v>3</v>
      </c>
      <c r="P46" s="257"/>
      <c r="Q46" s="258"/>
      <c r="R46" s="59">
        <v>2</v>
      </c>
      <c r="S46" s="289"/>
      <c r="T46" s="263"/>
      <c r="U46" s="44">
        <f t="shared" si="11"/>
        <v>0</v>
      </c>
    </row>
    <row r="47" spans="2:21" ht="22.15" customHeight="1" thickBot="1">
      <c r="B47" s="26" t="str">
        <f t="shared" si="8"/>
        <v/>
      </c>
      <c r="C47" s="263"/>
      <c r="D47" s="264"/>
      <c r="E47" s="60"/>
      <c r="F47" s="257"/>
      <c r="G47" s="258"/>
      <c r="H47" s="60"/>
      <c r="I47" s="289"/>
      <c r="J47" s="263"/>
      <c r="K47" s="44" t="str">
        <f t="shared" si="9"/>
        <v/>
      </c>
      <c r="L47" s="26" t="str">
        <f t="shared" si="10"/>
        <v/>
      </c>
      <c r="M47" s="263"/>
      <c r="N47" s="264"/>
      <c r="O47" s="60"/>
      <c r="P47" s="257"/>
      <c r="Q47" s="258"/>
      <c r="R47" s="60"/>
      <c r="S47" s="289"/>
      <c r="T47" s="263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8.9" customHeight="1" collapsed="1" thickBot="1">
      <c r="H50" s="268" t="s">
        <v>41</v>
      </c>
      <c r="I50" s="268"/>
      <c r="J50" s="268"/>
      <c r="K50" s="268"/>
      <c r="L50" s="268"/>
      <c r="M50" s="268"/>
      <c r="N50" s="268"/>
      <c r="O50" s="268"/>
      <c r="P50" s="43"/>
    </row>
    <row r="51" spans="6:17" s="24" customFormat="1" ht="28.15" customHeight="1" thickBot="1">
      <c r="F51" s="255"/>
      <c r="G51" s="256"/>
      <c r="H51" s="290" t="str">
        <f>IF(C41="","",IF(I41="","",IF(C41&gt;3,H35,IF(I41&gt;3,C35,""))))</f>
        <v>ST CIBOURE 1</v>
      </c>
      <c r="I51" s="291"/>
      <c r="J51" s="292"/>
      <c r="K51" s="259" t="s">
        <v>45</v>
      </c>
      <c r="L51" s="260"/>
      <c r="M51" s="290" t="str">
        <f>IF(M41="","",IF(S41="","",IF(M41&gt;3,R35,IF(S41&gt;3,M35,""))))</f>
        <v>PAS DE TIR DU VERT GALANT</v>
      </c>
      <c r="N51" s="291"/>
      <c r="O51" s="292"/>
      <c r="P51" s="265"/>
      <c r="Q51" s="255"/>
    </row>
    <row r="52" spans="6:17" s="25" customFormat="1" ht="22.15" customHeight="1" outlineLevel="1">
      <c r="F52" s="255"/>
      <c r="G52" s="256"/>
      <c r="H52" s="275" t="str">
        <f>IF(C41="","",IF(I41="","",IF(C41&gt;3,H36,IF(I41&gt;3,C36,""))))</f>
        <v>ROUQUETTE JEAN-LOUIS</v>
      </c>
      <c r="I52" s="276"/>
      <c r="J52" s="277"/>
      <c r="K52" s="119">
        <v>1</v>
      </c>
      <c r="L52" s="120">
        <v>2</v>
      </c>
      <c r="M52" s="275" t="str">
        <f>IF(M41="","",IF(S41="","",IF(M41&gt;3,R36,IF(S41&gt;3,M36,""))))</f>
        <v>SUCERE MARIE</v>
      </c>
      <c r="N52" s="276"/>
      <c r="O52" s="277"/>
      <c r="P52" s="265"/>
      <c r="Q52" s="255"/>
    </row>
    <row r="53" spans="6:17" s="25" customFormat="1" ht="22.15" customHeight="1" outlineLevel="1">
      <c r="F53" s="255"/>
      <c r="G53" s="256"/>
      <c r="H53" s="275" t="str">
        <f>IF(C41="","",IF(I41="","",IF(C41&gt;3,H37,IF(I41&gt;3,C37,""))))</f>
        <v>ACHOTEGUI RICHARD</v>
      </c>
      <c r="I53" s="276"/>
      <c r="J53" s="277"/>
      <c r="K53" s="121">
        <v>3</v>
      </c>
      <c r="L53" s="122">
        <v>4</v>
      </c>
      <c r="M53" s="275" t="str">
        <f>IF(M41="","",IF(S41="","",IF(M41&gt;3,R37,IF(S41&gt;3,M37,""))))</f>
        <v>AMATI JEAN PASCAL</v>
      </c>
      <c r="N53" s="276"/>
      <c r="O53" s="277"/>
      <c r="P53" s="265"/>
      <c r="Q53" s="255"/>
    </row>
    <row r="54" spans="6:17" s="25" customFormat="1" ht="22.15" customHeight="1" outlineLevel="1">
      <c r="F54" s="255"/>
      <c r="G54" s="256"/>
      <c r="H54" s="275" t="str">
        <f>IF(C41="","",IF(I41="","",IF(C41&gt;3,H38,IF(I41&gt;3,C38,""))))</f>
        <v>KEOKINNALY HANSAY</v>
      </c>
      <c r="I54" s="276"/>
      <c r="J54" s="277"/>
      <c r="K54" s="121">
        <v>5</v>
      </c>
      <c r="L54" s="122">
        <v>6</v>
      </c>
      <c r="M54" s="275" t="str">
        <f>IF(M41="","",IF(S41="","",IF(M41&gt;3,R38,IF(S41&gt;3,M38,""))))</f>
        <v>CWERNER BENOIT</v>
      </c>
      <c r="N54" s="276"/>
      <c r="O54" s="277"/>
      <c r="P54" s="265"/>
      <c r="Q54" s="255"/>
    </row>
    <row r="55" spans="6:17" s="25" customFormat="1" ht="22.15" customHeight="1" outlineLevel="1">
      <c r="F55" s="255"/>
      <c r="G55" s="256"/>
      <c r="H55" s="275" t="str">
        <f>IF(C41="","",IF(I41="","",IF(C41&gt;3,H39,IF(I41&gt;3,C39,""))))</f>
        <v>BOULENGUIEZ JULIEN</v>
      </c>
      <c r="I55" s="276"/>
      <c r="J55" s="277"/>
      <c r="K55" s="121">
        <v>7</v>
      </c>
      <c r="L55" s="122">
        <v>8</v>
      </c>
      <c r="M55" s="275" t="str">
        <f>IF(M41="","",IF(S41="","",IF(M41&gt;3,R39,IF(S41&gt;3,M39,""))))</f>
        <v>BACHACOU ROMAIN</v>
      </c>
      <c r="N55" s="276"/>
      <c r="O55" s="277"/>
      <c r="P55" s="265"/>
      <c r="Q55" s="255"/>
    </row>
    <row r="56" spans="6:17" s="25" customFormat="1" ht="22.15" customHeight="1" outlineLevel="1" thickBot="1">
      <c r="F56" s="255"/>
      <c r="G56" s="256"/>
      <c r="H56" s="275" t="str">
        <f>IF(C41="","",IF(I41="","",IF(C41&gt;3,H40,IF(I41&gt;3,C40,""))))</f>
        <v>TAILLEUR DAMIEN</v>
      </c>
      <c r="I56" s="276"/>
      <c r="J56" s="277"/>
      <c r="K56" s="123">
        <v>9</v>
      </c>
      <c r="L56" s="124">
        <v>10</v>
      </c>
      <c r="M56" s="275" t="str">
        <f>IF(M41="","",IF(S41="","",IF(M41&gt;3,R40,IF(S41&gt;3,M40,""))))</f>
        <v>BAJU JEAN ROBERT</v>
      </c>
      <c r="N56" s="276"/>
      <c r="O56" s="277"/>
      <c r="P56" s="265"/>
      <c r="Q56" s="255"/>
    </row>
    <row r="57" spans="6:17" ht="22.15" customHeight="1">
      <c r="G57" s="26">
        <f>IF(J57="","",IF(J57&gt;2,1,0))</f>
        <v>0</v>
      </c>
      <c r="H57" s="261">
        <f>IF(J57="","",SUM(G57:G63))</f>
        <v>2</v>
      </c>
      <c r="I57" s="262"/>
      <c r="J57" s="58">
        <v>2</v>
      </c>
      <c r="K57" s="266"/>
      <c r="L57" s="267"/>
      <c r="M57" s="58">
        <v>3</v>
      </c>
      <c r="N57" s="288">
        <f>IF(H35="",IF(M51="","",4),IF(M57="","",SUM(P57:P63)))</f>
        <v>4</v>
      </c>
      <c r="O57" s="261"/>
      <c r="P57" s="44">
        <f>IF(M57="","",IF(M57&gt;2,1,0))</f>
        <v>1</v>
      </c>
    </row>
    <row r="58" spans="6:17" ht="22.15" customHeight="1">
      <c r="G58" s="26">
        <f t="shared" ref="G58:G63" si="12">IF(J58="","",IF(J58&gt;2,1,0))</f>
        <v>1</v>
      </c>
      <c r="H58" s="263"/>
      <c r="I58" s="264"/>
      <c r="J58" s="59">
        <v>4</v>
      </c>
      <c r="K58" s="257"/>
      <c r="L58" s="258"/>
      <c r="M58" s="59">
        <v>1</v>
      </c>
      <c r="N58" s="289"/>
      <c r="O58" s="263"/>
      <c r="P58" s="44">
        <f t="shared" ref="P58:P63" si="13">IF(M58="","",IF(M58&gt;2,1,0))</f>
        <v>0</v>
      </c>
    </row>
    <row r="59" spans="6:17" ht="22.15" customHeight="1">
      <c r="G59" s="26">
        <f t="shared" si="12"/>
        <v>0</v>
      </c>
      <c r="H59" s="263"/>
      <c r="I59" s="264"/>
      <c r="J59" s="59">
        <v>2</v>
      </c>
      <c r="K59" s="257"/>
      <c r="L59" s="258"/>
      <c r="M59" s="59">
        <v>3</v>
      </c>
      <c r="N59" s="289"/>
      <c r="O59" s="263"/>
      <c r="P59" s="44">
        <f t="shared" si="13"/>
        <v>1</v>
      </c>
    </row>
    <row r="60" spans="6:17" ht="22.15" customHeight="1">
      <c r="G60" s="26">
        <f t="shared" si="12"/>
        <v>1</v>
      </c>
      <c r="H60" s="263"/>
      <c r="I60" s="264"/>
      <c r="J60" s="59">
        <v>3</v>
      </c>
      <c r="K60" s="257"/>
      <c r="L60" s="258"/>
      <c r="M60" s="59">
        <v>2</v>
      </c>
      <c r="N60" s="289"/>
      <c r="O60" s="263"/>
      <c r="P60" s="44">
        <f t="shared" si="13"/>
        <v>0</v>
      </c>
    </row>
    <row r="61" spans="6:17" ht="22.15" customHeight="1">
      <c r="G61" s="26">
        <f t="shared" si="12"/>
        <v>0</v>
      </c>
      <c r="H61" s="263"/>
      <c r="I61" s="264"/>
      <c r="J61" s="59">
        <v>2</v>
      </c>
      <c r="K61" s="257"/>
      <c r="L61" s="258"/>
      <c r="M61" s="59">
        <v>3</v>
      </c>
      <c r="N61" s="289"/>
      <c r="O61" s="263"/>
      <c r="P61" s="44">
        <f t="shared" si="13"/>
        <v>1</v>
      </c>
    </row>
    <row r="62" spans="6:17" ht="22.15" customHeight="1">
      <c r="G62" s="26">
        <f t="shared" si="12"/>
        <v>0</v>
      </c>
      <c r="H62" s="263"/>
      <c r="I62" s="264"/>
      <c r="J62" s="59">
        <v>2</v>
      </c>
      <c r="K62" s="257"/>
      <c r="L62" s="258"/>
      <c r="M62" s="59">
        <v>3</v>
      </c>
      <c r="N62" s="289"/>
      <c r="O62" s="263"/>
      <c r="P62" s="44">
        <f t="shared" si="13"/>
        <v>1</v>
      </c>
    </row>
    <row r="63" spans="6:17" ht="22.15" customHeight="1" thickBot="1">
      <c r="G63" s="26" t="str">
        <f t="shared" si="12"/>
        <v/>
      </c>
      <c r="H63" s="263"/>
      <c r="I63" s="264"/>
      <c r="J63" s="60"/>
      <c r="K63" s="257"/>
      <c r="L63" s="258"/>
      <c r="M63" s="60"/>
      <c r="N63" s="289"/>
      <c r="O63" s="263"/>
      <c r="P63" s="44" t="str">
        <f t="shared" si="13"/>
        <v/>
      </c>
    </row>
    <row r="64" spans="6:17" ht="60" customHeight="1" thickBot="1">
      <c r="G64" s="43"/>
      <c r="H64" s="281" t="s">
        <v>12</v>
      </c>
      <c r="I64" s="281"/>
      <c r="J64" s="281"/>
      <c r="K64" s="281"/>
      <c r="L64" s="281"/>
      <c r="M64" s="281"/>
      <c r="N64" s="281"/>
      <c r="O64" s="281"/>
    </row>
    <row r="65" spans="6:17" ht="28.15" customHeight="1" thickBot="1">
      <c r="F65" s="255"/>
      <c r="G65" s="256"/>
      <c r="H65" s="272" t="str">
        <f>IF(H35="",C35,IF(C41="","",IF(I41="","",IF(C41&gt;3,C35,IF(I41&gt;3,H35,"")))))</f>
        <v>ST LONS</v>
      </c>
      <c r="I65" s="273"/>
      <c r="J65" s="274"/>
      <c r="K65" s="259" t="s">
        <v>45</v>
      </c>
      <c r="L65" s="260"/>
      <c r="M65" s="272" t="str">
        <f>IF(M35="",R35,IF(M41="","",IF(S41="","",IF(M41&gt;3,M35,IF(S41&gt;3,R35,"")))))</f>
        <v>FT MONT</v>
      </c>
      <c r="N65" s="273"/>
      <c r="O65" s="274"/>
      <c r="P65" s="265"/>
      <c r="Q65" s="255"/>
    </row>
    <row r="66" spans="6:17" ht="22.15" customHeight="1" outlineLevel="1">
      <c r="F66" s="255"/>
      <c r="G66" s="256"/>
      <c r="H66" s="278" t="str">
        <f>IF(H36="",C36,IF(C41="","",IF(I41="","",IF(C41&gt;3,C36,IF(I41&gt;3,H36,"")))))</f>
        <v>PANTELEYEV KONSTANTIN</v>
      </c>
      <c r="I66" s="279"/>
      <c r="J66" s="280"/>
      <c r="K66" s="125">
        <v>11</v>
      </c>
      <c r="L66" s="126">
        <v>12</v>
      </c>
      <c r="M66" s="278" t="str">
        <f>IF(M36="",R36,IF(M41="","",IF(S41="","",IF(M41&gt;3,M36,IF(S41&gt;3,R36,"")))))</f>
        <v>WALKER MELANIE</v>
      </c>
      <c r="N66" s="279"/>
      <c r="O66" s="280"/>
      <c r="P66" s="265"/>
      <c r="Q66" s="255"/>
    </row>
    <row r="67" spans="6:17" ht="22.15" customHeight="1" outlineLevel="1">
      <c r="F67" s="255"/>
      <c r="G67" s="256"/>
      <c r="H67" s="278" t="str">
        <f>IF(H37="",C37,IF(C41="","",IF(I41="","",IF(C41&gt;3,C37,IF(I41&gt;3,H37,"")))))</f>
        <v>DESTNAVE JEAN-FRANCOIS</v>
      </c>
      <c r="I67" s="279"/>
      <c r="J67" s="280"/>
      <c r="K67" s="127">
        <v>13</v>
      </c>
      <c r="L67" s="128">
        <v>14</v>
      </c>
      <c r="M67" s="278" t="str">
        <f>IF(M37="",R37,IF(M41="","",IF(S41="","",IF(M41&gt;3,M37,IF(S41&gt;3,R37,"")))))</f>
        <v>PETIT SEBASTIEN</v>
      </c>
      <c r="N67" s="279"/>
      <c r="O67" s="280"/>
      <c r="P67" s="265"/>
      <c r="Q67" s="255"/>
    </row>
    <row r="68" spans="6:17" ht="22.15" customHeight="1" outlineLevel="1">
      <c r="F68" s="255"/>
      <c r="G68" s="256"/>
      <c r="H68" s="278" t="str">
        <f>IF(H38="",C38,IF(C41="","",IF(I41="","",IF(C41&gt;3,C38,IF(I41&gt;3,H38,"")))))</f>
        <v>BRENN MARJOLAINE</v>
      </c>
      <c r="I68" s="279"/>
      <c r="J68" s="280"/>
      <c r="K68" s="127">
        <v>15</v>
      </c>
      <c r="L68" s="128">
        <v>16</v>
      </c>
      <c r="M68" s="278" t="str">
        <f>IF(M38="",R38,IF(M41="","",IF(S41="","",IF(M41&gt;3,M38,IF(S41&gt;3,R38,"")))))</f>
        <v>LAFARGUE YOANN</v>
      </c>
      <c r="N68" s="279"/>
      <c r="O68" s="280"/>
      <c r="P68" s="265"/>
      <c r="Q68" s="255"/>
    </row>
    <row r="69" spans="6:17" ht="22.15" customHeight="1" outlineLevel="1">
      <c r="F69" s="255"/>
      <c r="G69" s="256"/>
      <c r="H69" s="278" t="str">
        <f>IF(H39="",C39,IF(C41="","",IF(I41="","",IF(C41&gt;3,C39,IF(I41&gt;3,H39,"")))))</f>
        <v>LUX LAURENT</v>
      </c>
      <c r="I69" s="279"/>
      <c r="J69" s="280"/>
      <c r="K69" s="127">
        <v>17</v>
      </c>
      <c r="L69" s="128">
        <v>18</v>
      </c>
      <c r="M69" s="278" t="str">
        <f>IF(M39="",R39,IF(M41="","",IF(S41="","",IF(M41&gt;3,M39,IF(S41&gt;3,R39,"")))))</f>
        <v>LATOUR LAURENT</v>
      </c>
      <c r="N69" s="279"/>
      <c r="O69" s="280"/>
      <c r="P69" s="265"/>
      <c r="Q69" s="255"/>
    </row>
    <row r="70" spans="6:17" ht="22.15" customHeight="1" outlineLevel="1" thickBot="1">
      <c r="F70" s="255"/>
      <c r="G70" s="256"/>
      <c r="H70" s="278" t="str">
        <f>IF(H40="",C40,IF(C41="","",IF(I41="","",IF(C41&gt;3,C40,IF(I41&gt;3,H40,"")))))</f>
        <v>DUHAMELLE DENIS</v>
      </c>
      <c r="I70" s="279"/>
      <c r="J70" s="280"/>
      <c r="K70" s="129">
        <v>19</v>
      </c>
      <c r="L70" s="130">
        <v>20</v>
      </c>
      <c r="M70" s="278" t="str">
        <f>IF(M40="",R40,IF(M41="","",IF(S41="","",IF(M41&gt;3,M40,IF(S41&gt;3,R40,"")))))</f>
        <v>LASCARAY THIERRY</v>
      </c>
      <c r="N70" s="279"/>
      <c r="O70" s="280"/>
      <c r="P70" s="265"/>
      <c r="Q70" s="255"/>
    </row>
    <row r="71" spans="6:17" ht="22.15" customHeight="1">
      <c r="G71" s="26">
        <f>IF(J71="","",IF(J71&gt;2,1,0))</f>
        <v>1</v>
      </c>
      <c r="H71" s="261">
        <f>IF(J71="","",SUM(G71:G77))</f>
        <v>4</v>
      </c>
      <c r="I71" s="262"/>
      <c r="J71" s="58">
        <v>4</v>
      </c>
      <c r="K71" s="266"/>
      <c r="L71" s="267"/>
      <c r="M71" s="58">
        <v>1</v>
      </c>
      <c r="N71" s="288">
        <f>IF(M71="","",SUM(P71:P77))</f>
        <v>2</v>
      </c>
      <c r="O71" s="261"/>
      <c r="P71" s="44">
        <f>IF(M71="","",IF(M71&gt;2,1,0))</f>
        <v>0</v>
      </c>
    </row>
    <row r="72" spans="6:17" ht="22.15" customHeight="1">
      <c r="G72" s="26">
        <f t="shared" ref="G72:G77" si="14">IF(J72="","",IF(J72&gt;2,1,0))</f>
        <v>0</v>
      </c>
      <c r="H72" s="263"/>
      <c r="I72" s="264"/>
      <c r="J72" s="59">
        <v>2</v>
      </c>
      <c r="K72" s="257"/>
      <c r="L72" s="258"/>
      <c r="M72" s="59">
        <v>3</v>
      </c>
      <c r="N72" s="289"/>
      <c r="O72" s="263"/>
      <c r="P72" s="44">
        <f t="shared" ref="P72:P77" si="15">IF(M72="","",IF(M72&gt;2,1,0))</f>
        <v>1</v>
      </c>
    </row>
    <row r="73" spans="6:17" ht="22.15" customHeight="1">
      <c r="G73" s="26">
        <f t="shared" si="14"/>
        <v>0</v>
      </c>
      <c r="H73" s="263"/>
      <c r="I73" s="264"/>
      <c r="J73" s="59">
        <v>2</v>
      </c>
      <c r="K73" s="257"/>
      <c r="L73" s="258"/>
      <c r="M73" s="59">
        <v>3</v>
      </c>
      <c r="N73" s="289"/>
      <c r="O73" s="263"/>
      <c r="P73" s="44">
        <f t="shared" si="15"/>
        <v>1</v>
      </c>
    </row>
    <row r="74" spans="6:17" ht="22.15" customHeight="1">
      <c r="G74" s="26">
        <f t="shared" si="14"/>
        <v>1</v>
      </c>
      <c r="H74" s="263"/>
      <c r="I74" s="264"/>
      <c r="J74" s="59">
        <v>4</v>
      </c>
      <c r="K74" s="257"/>
      <c r="L74" s="258"/>
      <c r="M74" s="59">
        <v>1</v>
      </c>
      <c r="N74" s="289"/>
      <c r="O74" s="263"/>
      <c r="P74" s="44">
        <f t="shared" si="15"/>
        <v>0</v>
      </c>
    </row>
    <row r="75" spans="6:17" ht="22.15" customHeight="1">
      <c r="G75" s="26">
        <f t="shared" si="14"/>
        <v>1</v>
      </c>
      <c r="H75" s="263"/>
      <c r="I75" s="264"/>
      <c r="J75" s="59">
        <v>4</v>
      </c>
      <c r="K75" s="257"/>
      <c r="L75" s="258"/>
      <c r="M75" s="59">
        <v>1</v>
      </c>
      <c r="N75" s="289"/>
      <c r="O75" s="263"/>
      <c r="P75" s="44">
        <f t="shared" si="15"/>
        <v>0</v>
      </c>
    </row>
    <row r="76" spans="6:17" ht="22.15" customHeight="1">
      <c r="G76" s="26">
        <f t="shared" si="14"/>
        <v>1</v>
      </c>
      <c r="H76" s="263"/>
      <c r="I76" s="264"/>
      <c r="J76" s="59">
        <v>3</v>
      </c>
      <c r="K76" s="257"/>
      <c r="L76" s="258"/>
      <c r="M76" s="59">
        <v>2</v>
      </c>
      <c r="N76" s="289"/>
      <c r="O76" s="263"/>
      <c r="P76" s="44">
        <f t="shared" si="15"/>
        <v>0</v>
      </c>
    </row>
    <row r="77" spans="6:17" ht="22.15" customHeight="1" thickBot="1">
      <c r="G77" s="26" t="str">
        <f t="shared" si="14"/>
        <v/>
      </c>
      <c r="H77" s="263"/>
      <c r="I77" s="264"/>
      <c r="J77" s="60"/>
      <c r="K77" s="257"/>
      <c r="L77" s="258"/>
      <c r="M77" s="60"/>
      <c r="N77" s="289"/>
      <c r="O77" s="263"/>
      <c r="P77" s="44" t="str">
        <f t="shared" si="15"/>
        <v/>
      </c>
    </row>
  </sheetData>
  <sheetProtection password="CF6D" sheet="1" objects="1" scenarios="1" formatColumns="0" selectLockedCells="1"/>
  <mergeCells count="186"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zoomScale="75" zoomScaleNormal="75" zoomScaleSheetLayoutView="80" zoomScalePageLayoutView="75" workbookViewId="0">
      <selection sqref="A1:H3"/>
    </sheetView>
  </sheetViews>
  <sheetFormatPr baseColWidth="10" defaultColWidth="10.625" defaultRowHeight="15.75" outlineLevelCol="1"/>
  <cols>
    <col min="1" max="1" width="10.625" style="2"/>
    <col min="2" max="2" width="62.5" style="2" customWidth="1"/>
    <col min="3" max="3" width="38.875" style="2" customWidth="1" outlineLevel="1"/>
    <col min="4" max="4" width="20.625" style="2" customWidth="1"/>
    <col min="5" max="5" width="17.625" style="2" customWidth="1"/>
    <col min="6" max="6" width="6.125" style="2" hidden="1" customWidth="1"/>
    <col min="7" max="7" width="5.625" style="2" customWidth="1"/>
    <col min="8" max="8" width="8.625" style="2" customWidth="1"/>
    <col min="9" max="9" width="10.625" style="2"/>
    <col min="10" max="10" width="47" style="2" hidden="1" customWidth="1" outlineLevel="1"/>
    <col min="11" max="11" width="3.375" style="2" hidden="1" customWidth="1" outlineLevel="1"/>
    <col min="12" max="12" width="29.5" style="2" hidden="1" customWidth="1" outlineLevel="1"/>
    <col min="13" max="13" width="16.125" style="2" hidden="1" customWidth="1" outlineLevel="1"/>
    <col min="14" max="14" width="10.625" style="2" collapsed="1"/>
    <col min="15" max="15" width="2.5" style="2" customWidth="1"/>
    <col min="16" max="16384" width="10.625" style="2"/>
  </cols>
  <sheetData>
    <row r="1" spans="1:17" ht="30" customHeight="1">
      <c r="A1" s="252" t="str">
        <f>CONCATENATE("PALMARES","  ",INFO!B6,"
","CHAMPIONNAT DE FRANCE DES CLUBS","
","10 METRES")</f>
        <v>PALMARES  2025-2026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.15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.15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PISTOLET   AQUITAINE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2.9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" customHeight="1">
      <c r="A8" s="28">
        <v>1</v>
      </c>
      <c r="B8" s="39" t="str">
        <f>IF(A8="","",IF('P.F.'!J71="","",IF('P.F.'!H71&gt;3,'P.F.'!H65,IF('P.F.'!N71&gt;3,'P.F.'!M65,""))))</f>
        <v>ST LONS</v>
      </c>
      <c r="C8" s="39"/>
      <c r="D8" s="40">
        <f>IF(A8="","",IF(B8="","",VLOOKUP(B8,'M Q'!B$7:AI$14,2,0)))</f>
        <v>264059</v>
      </c>
      <c r="E8" s="191">
        <f>IF(A8="","",IF(B8="","",VLOOKUP(B8,'M Q'!B$7:AI$14,33,0)))</f>
        <v>1359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1.9" customHeight="1">
      <c r="A9" s="28">
        <f>IF(INFO!B8&gt;1,2,"")</f>
        <v>2</v>
      </c>
      <c r="B9" s="39" t="str">
        <f>IF(A9="","",IF('P.F.'!M71="","",IF('P.F.'!H71&gt;3,'P.F.'!M65,IF('P.F.'!N71&gt;3,'P.F.'!H65,""))))</f>
        <v>FT MONT</v>
      </c>
      <c r="C9" s="39"/>
      <c r="D9" s="40">
        <f>IF(A9="","",IF(B9="","",VLOOKUP(B9,'M Q'!B$7:AI$14,2,0)))</f>
        <v>264062</v>
      </c>
      <c r="E9" s="191">
        <f>IF(A9="","",IF(B9="","",VLOOKUP(B9,'M Q'!B$7:AI$14,33,0)))</f>
        <v>1290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1.9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PAS DE TIR DU VERT GALANT</v>
      </c>
      <c r="C10" s="27"/>
      <c r="D10" s="40">
        <f>IF(A10="","",IF(B10="","",VLOOKUP(B10,'M Q'!B$7:AI$14,2,0)))</f>
        <v>264302</v>
      </c>
      <c r="E10" s="191">
        <f>IF(A10="","",IF(B10="","",VLOOKUP(B10,'M Q'!B$7:AI$14,33,0)))</f>
        <v>1329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1.9" customHeight="1">
      <c r="A11" s="28">
        <f>IF(INFO!B8&gt;3,4,"")</f>
        <v>4</v>
      </c>
      <c r="B11" s="27" t="str">
        <f>IF(A11="","",IF('P.F.'!M57="","",IF('P.F.'!H57&gt;3,'P.F.'!M51,IF('P.F.'!N57&gt;3,'P.F.'!H51,""))))</f>
        <v>ST CIBOURE 1</v>
      </c>
      <c r="C11" s="27"/>
      <c r="D11" s="40">
        <f>IF(A11="","",IF(B11="","",VLOOKUP(B11,'M Q'!B$7:AI$14,2,0)))</f>
        <v>264120</v>
      </c>
      <c r="E11" s="191">
        <f>IF(A11="","",IF(B11="","",VLOOKUP(B11,'M Q'!B$7:AI$14,33,0)))</f>
        <v>1285</v>
      </c>
      <c r="F11" s="49">
        <f>IF(A11="","",IF(B11="","",VLOOKUP(B11,'M Q'!B$7:AI$14,34,0)))</f>
        <v>0</v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1.9" customHeight="1">
      <c r="A12" s="28">
        <f>IF(INFO!B8&gt;4,5,"")</f>
        <v>5</v>
      </c>
      <c r="B12" s="27" t="str">
        <f>IF(A12="","",VLOOKUP(E12,J$12:M$15,3,0))</f>
        <v>ST CIBOURE 3</v>
      </c>
      <c r="C12" s="27"/>
      <c r="D12" s="41">
        <f>IF(A12="","",VLOOKUP(E12,J$12:M$15,4,0))</f>
        <v>264120</v>
      </c>
      <c r="E12" s="192">
        <f>IF(A12="","",LARGE(J12:J15,1))</f>
        <v>1217.0000003944249</v>
      </c>
      <c r="F12" s="49">
        <f>IF(A12="","",IF(B12="","",VLOOKUP(B12,'M Q'!B$7:AI$14,34,0)))</f>
        <v>0</v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1.9" customHeight="1">
      <c r="A13" s="28">
        <f>IF(INFO!B8&gt;5,6,"")</f>
        <v>6</v>
      </c>
      <c r="B13" s="27" t="str">
        <f>IF(A13="","",VLOOKUP(E13,J$12:M$15,3,0))</f>
        <v>ST CIBOURE 2</v>
      </c>
      <c r="C13" s="27"/>
      <c r="D13" s="41">
        <f>IF(A13="","",VLOOKUP(E13,J$12:M$15,4,0))</f>
        <v>264120</v>
      </c>
      <c r="E13" s="192">
        <f>IF(A13="","",LARGE(J12:J15,2))</f>
        <v>1197.0000003884049</v>
      </c>
      <c r="F13" s="49">
        <f>IF(A13="","",IF(B13="","",VLOOKUP(B13,'M Q'!B$7:AI$14,34,0)))</f>
        <v>0</v>
      </c>
      <c r="G13" s="300"/>
      <c r="J13" s="190">
        <f>IF(L13="",0,VLOOKUP(L13,saisie!C$7:AL$26,36,0))</f>
        <v>1197.0000003884049</v>
      </c>
      <c r="K13" s="16">
        <f>VLOOKUP(L13,saisie!C$7:AL$26,34,0)</f>
        <v>0</v>
      </c>
      <c r="L13" s="37" t="str">
        <f>IF('P.F.'!O11="","",IF('P.F.'!M11&gt;3,'P.F.'!R5,IF('P.F.'!S11&gt;3,'P.F.'!M5,"")))</f>
        <v>ST CIBOURE 2</v>
      </c>
      <c r="M13" s="16">
        <f>VLOOKUP(L13,saisie!C$7:AL$26,2,0)</f>
        <v>264120</v>
      </c>
    </row>
    <row r="14" spans="1:17" s="14" customFormat="1" ht="61.9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1217.0000003944249</v>
      </c>
      <c r="K14" s="16">
        <f>VLOOKUP(L14,saisie!C$7:AL$26,34,0)</f>
        <v>0</v>
      </c>
      <c r="L14" s="37" t="str">
        <f>IF('P.F.'!H25="","",IF('P.F.'!C25&gt;3,'P.F.'!H19,IF('P.F.'!I25&gt;3,'P.F.'!C19,"")))</f>
        <v>ST CIBOURE 3</v>
      </c>
      <c r="M14" s="16">
        <f>VLOOKUP(L14,saisie!C$7:AL$26,2,0)</f>
        <v>264120</v>
      </c>
      <c r="O14" s="15"/>
      <c r="P14" s="15"/>
    </row>
    <row r="15" spans="1:17" s="14" customFormat="1" ht="61.9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IF('P.F.'!R25="","",IF('P.F.'!M25&gt;3,'P.F.'!R19,IF('P.F.'!S25&gt;3,'P.F.'!M19,"")))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1.9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25"/>
    <row r="91" s="14" customFormat="1" ht="23.25"/>
    <row r="92" s="14" customFormat="1" ht="23.25"/>
    <row r="93" s="14" customFormat="1" ht="23.25"/>
    <row r="94" s="14" customFormat="1" ht="23.25"/>
    <row r="95" s="14" customFormat="1" ht="23.25"/>
    <row r="96" s="14" customFormat="1" ht="23.25"/>
    <row r="97" s="14" customFormat="1" ht="23.25"/>
    <row r="98" s="14" customFormat="1" ht="23.25"/>
    <row r="99" s="14" customFormat="1" ht="23.25"/>
    <row r="100" s="14" customFormat="1" ht="23.25"/>
    <row r="101" s="14" customFormat="1" ht="23.25"/>
    <row r="102" s="14" customFormat="1" ht="23.25"/>
    <row r="103" s="14" customFormat="1" ht="23.25"/>
    <row r="104" s="14" customFormat="1" ht="23.25"/>
    <row r="105" s="14" customFormat="1" ht="23.25"/>
    <row r="106" s="14" customFormat="1" ht="23.25"/>
    <row r="107" s="14" customFormat="1" ht="23.25"/>
    <row r="108" s="14" customFormat="1" ht="23.25"/>
    <row r="109" s="14" customFormat="1" ht="23.25"/>
    <row r="110" s="14" customFormat="1" ht="23.25"/>
    <row r="111" s="14" customFormat="1" ht="23.25"/>
    <row r="112" s="14" customFormat="1" ht="23.25"/>
    <row r="113" s="14" customFormat="1" ht="23.25"/>
    <row r="114" s="14" customFormat="1" ht="23.25"/>
    <row r="115" s="14" customFormat="1" ht="23.25"/>
    <row r="116" s="14" customFormat="1" ht="23.25"/>
    <row r="117" s="14" customFormat="1" ht="23.25"/>
    <row r="118" s="14" customFormat="1" ht="23.25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Patrick GARIVET</cp:lastModifiedBy>
  <cp:lastPrinted>2026-01-11T12:02:30Z</cp:lastPrinted>
  <dcterms:created xsi:type="dcterms:W3CDTF">2004-11-19T11:01:00Z</dcterms:created>
  <dcterms:modified xsi:type="dcterms:W3CDTF">2026-01-11T15:23:28Z</dcterms:modified>
</cp:coreProperties>
</file>